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MEF\PMD PAD PAC Excel\Estadistica WEB\A\"/>
    </mc:Choice>
  </mc:AlternateContent>
  <bookViews>
    <workbookView xWindow="0" yWindow="0" windowWidth="28800" windowHeight="12330" tabRatio="282"/>
  </bookViews>
  <sheets>
    <sheet name="Base 90-2020" sheetId="1" r:id="rId1"/>
    <sheet name="Hoja1" sheetId="2" r:id="rId2"/>
  </sheets>
  <definedNames>
    <definedName name="_xlnm.Print_Area" localSheetId="0">'Base 90-2020'!$B$352:$M$710</definedName>
    <definedName name="_xlnm.Print_Titles" localSheetId="0">'Base 90-2020'!$1:$9</definedName>
  </definedNames>
  <calcPr calcId="162913" iterate="1"/>
</workbook>
</file>

<file path=xl/calcChain.xml><?xml version="1.0" encoding="utf-8"?>
<calcChain xmlns="http://schemas.openxmlformats.org/spreadsheetml/2006/main">
  <c r="M740" i="1" l="1"/>
  <c r="M739" i="1"/>
  <c r="M738" i="1"/>
  <c r="M737" i="1"/>
  <c r="M732" i="1"/>
  <c r="M731" i="1" s="1"/>
  <c r="M736" i="1"/>
  <c r="M735" i="1"/>
  <c r="M721" i="1"/>
  <c r="M720" i="1"/>
  <c r="M719" i="1"/>
  <c r="M718" i="1"/>
  <c r="M717" i="1"/>
  <c r="M714" i="1"/>
  <c r="M713" i="1" s="1"/>
  <c r="M734" i="1" l="1"/>
  <c r="M729" i="1" s="1"/>
  <c r="M716" i="1"/>
  <c r="M711" i="1" s="1"/>
  <c r="M682" i="1" l="1"/>
  <c r="M693" i="1" l="1"/>
  <c r="M689" i="1"/>
  <c r="M468" i="1"/>
  <c r="M473" i="1"/>
  <c r="M488" i="1"/>
  <c r="M495" i="1"/>
  <c r="M514" i="1"/>
  <c r="M523" i="1"/>
  <c r="M548" i="1"/>
  <c r="M546" i="1" s="1"/>
  <c r="M603" i="1"/>
  <c r="M627" i="1"/>
  <c r="M650" i="1"/>
  <c r="M659" i="1"/>
  <c r="M658" i="1" s="1"/>
  <c r="M672" i="1"/>
  <c r="M676" i="1"/>
  <c r="M675" i="1"/>
  <c r="M674" i="1"/>
  <c r="M673" i="1"/>
  <c r="M671" i="1"/>
  <c r="M670" i="1"/>
  <c r="M669" i="1"/>
  <c r="M668" i="1"/>
  <c r="L676" i="1"/>
  <c r="L675" i="1"/>
  <c r="L674" i="1"/>
  <c r="L673" i="1"/>
  <c r="L672" i="1"/>
  <c r="L671" i="1"/>
  <c r="L670" i="1"/>
  <c r="L668" i="1"/>
  <c r="L669" i="1"/>
  <c r="L663" i="1"/>
  <c r="L664" i="1"/>
  <c r="M664" i="1"/>
  <c r="M663" i="1"/>
  <c r="L653" i="1"/>
  <c r="L652" i="1"/>
  <c r="L651" i="1"/>
  <c r="M647" i="1"/>
  <c r="M646" i="1"/>
  <c r="L647" i="1"/>
  <c r="L646" i="1"/>
  <c r="M624" i="1"/>
  <c r="M623" i="1"/>
  <c r="M622" i="1"/>
  <c r="M621" i="1"/>
  <c r="M601" i="1"/>
  <c r="M600" i="1"/>
  <c r="M569" i="1"/>
  <c r="M592" i="1"/>
  <c r="M580" i="1" s="1"/>
  <c r="M577" i="1"/>
  <c r="M576" i="1"/>
  <c r="M575" i="1"/>
  <c r="M574" i="1"/>
  <c r="M573" i="1"/>
  <c r="M572" i="1"/>
  <c r="M571" i="1"/>
  <c r="M570" i="1"/>
  <c r="M568" i="1"/>
  <c r="M567" i="1"/>
  <c r="M564" i="1"/>
  <c r="M563" i="1" s="1"/>
  <c r="I507" i="1"/>
  <c r="I506" i="1"/>
  <c r="I502" i="1"/>
  <c r="I501" i="1"/>
  <c r="I499" i="1"/>
  <c r="I496" i="1"/>
  <c r="M419" i="1"/>
  <c r="M421" i="1"/>
  <c r="M420" i="1"/>
  <c r="M411" i="1"/>
  <c r="M410" i="1" s="1"/>
  <c r="M422" i="1"/>
  <c r="M424" i="1"/>
  <c r="M417" i="1"/>
  <c r="M418" i="1"/>
  <c r="M423" i="1"/>
  <c r="L392" i="1"/>
  <c r="M392" i="1" s="1"/>
  <c r="L395" i="1"/>
  <c r="M395" i="1" s="1"/>
  <c r="L402" i="1"/>
  <c r="M402" i="1" s="1"/>
  <c r="L405" i="1"/>
  <c r="M405" i="1" s="1"/>
  <c r="L406" i="1"/>
  <c r="M406" i="1" s="1"/>
  <c r="L407" i="1"/>
  <c r="M407" i="1" s="1"/>
  <c r="L391" i="1"/>
  <c r="M391" i="1" s="1"/>
  <c r="L396" i="1"/>
  <c r="M396" i="1" s="1"/>
  <c r="L398" i="1"/>
  <c r="M398" i="1" s="1"/>
  <c r="L399" i="1"/>
  <c r="M399" i="1" s="1"/>
  <c r="L400" i="1"/>
  <c r="M400" i="1" s="1"/>
  <c r="L401" i="1"/>
  <c r="M401" i="1" s="1"/>
  <c r="L404" i="1"/>
  <c r="M404" i="1" s="1"/>
  <c r="L393" i="1"/>
  <c r="M393" i="1" s="1"/>
  <c r="L397" i="1"/>
  <c r="M397" i="1" s="1"/>
  <c r="L403" i="1"/>
  <c r="M403" i="1" s="1"/>
  <c r="L394" i="1"/>
  <c r="M394" i="1" s="1"/>
  <c r="L385" i="1"/>
  <c r="M385" i="1" s="1"/>
  <c r="L387" i="1"/>
  <c r="M387" i="1" s="1"/>
  <c r="M450" i="1"/>
  <c r="M456" i="1"/>
  <c r="M414" i="1"/>
  <c r="M413" i="1" s="1"/>
  <c r="M428" i="1"/>
  <c r="M436" i="1"/>
  <c r="M381" i="1"/>
  <c r="L382" i="1"/>
  <c r="M382" i="1" s="1"/>
  <c r="L386" i="1"/>
  <c r="M386" i="1" s="1"/>
  <c r="M354" i="1"/>
  <c r="M355" i="1"/>
  <c r="M345" i="1"/>
  <c r="M346" i="1"/>
  <c r="M350" i="1"/>
  <c r="M349" i="1"/>
  <c r="M348" i="1"/>
  <c r="M347" i="1"/>
  <c r="M358" i="1"/>
  <c r="M192" i="1"/>
  <c r="M160" i="1"/>
  <c r="M129" i="1"/>
  <c r="M106" i="1"/>
  <c r="M90" i="1"/>
  <c r="M16" i="1"/>
  <c r="M13" i="1" s="1"/>
  <c r="M19" i="1"/>
  <c r="M25" i="1"/>
  <c r="M28" i="1"/>
  <c r="M34" i="1"/>
  <c r="M35" i="1"/>
  <c r="M36" i="1"/>
  <c r="M37" i="1"/>
  <c r="M38" i="1"/>
  <c r="M335" i="1"/>
  <c r="M336" i="1"/>
  <c r="M344" i="1"/>
  <c r="M339" i="1"/>
  <c r="M340" i="1"/>
  <c r="M341" i="1"/>
  <c r="M321" i="1"/>
  <c r="M318" i="1"/>
  <c r="C161" i="1"/>
  <c r="C162" i="1"/>
  <c r="C163" i="1"/>
  <c r="C164" i="1"/>
  <c r="C165" i="1"/>
  <c r="C166" i="1"/>
  <c r="C167" i="1"/>
  <c r="M227" i="1"/>
  <c r="M226" i="1"/>
  <c r="M292" i="1"/>
  <c r="M295" i="1"/>
  <c r="M303" i="1"/>
  <c r="M314" i="1"/>
  <c r="L251" i="1"/>
  <c r="M251" i="1" s="1"/>
  <c r="M249" i="1" s="1"/>
  <c r="M254" i="1"/>
  <c r="M257" i="1"/>
  <c r="M279" i="1"/>
  <c r="M272" i="1" s="1"/>
  <c r="M285" i="1"/>
  <c r="M288" i="1"/>
  <c r="M229" i="1"/>
  <c r="M238" i="1"/>
  <c r="M245" i="1"/>
  <c r="M204" i="1"/>
  <c r="M221" i="1"/>
  <c r="M175" i="1"/>
  <c r="M187" i="1"/>
  <c r="M140" i="1"/>
  <c r="M146" i="1"/>
  <c r="M155" i="1"/>
  <c r="M112" i="1"/>
  <c r="M134" i="1"/>
  <c r="M84" i="1"/>
  <c r="M101" i="1"/>
  <c r="M58" i="1"/>
  <c r="M62" i="1"/>
  <c r="M68" i="1"/>
  <c r="M80" i="1"/>
  <c r="M41" i="1"/>
  <c r="M44" i="1"/>
  <c r="M51" i="1"/>
  <c r="M54" i="1"/>
  <c r="C29" i="1"/>
  <c r="C21" i="1"/>
  <c r="C14" i="1"/>
  <c r="C15" i="1"/>
  <c r="C23" i="1"/>
  <c r="C30" i="1"/>
  <c r="C17" i="1"/>
  <c r="C31" i="1"/>
  <c r="C115" i="1"/>
  <c r="C113" i="1"/>
  <c r="C103" i="1"/>
  <c r="C144" i="1"/>
  <c r="C66" i="1"/>
  <c r="C69" i="1"/>
  <c r="L289" i="1"/>
  <c r="L250" i="1"/>
  <c r="C151" i="1"/>
  <c r="C150" i="1"/>
  <c r="C142" i="1"/>
  <c r="C149" i="1"/>
  <c r="C156" i="1"/>
  <c r="C141" i="1"/>
  <c r="C147" i="1"/>
  <c r="C182" i="1"/>
  <c r="C181" i="1"/>
  <c r="C188" i="1"/>
  <c r="C180" i="1"/>
  <c r="C179" i="1"/>
  <c r="C176" i="1"/>
  <c r="C177" i="1"/>
  <c r="C178" i="1"/>
  <c r="C148" i="1"/>
  <c r="C143" i="1"/>
  <c r="C153" i="1"/>
  <c r="C152" i="1"/>
  <c r="C107" i="1"/>
  <c r="C127" i="1"/>
  <c r="C126" i="1"/>
  <c r="C125" i="1"/>
  <c r="C122" i="1"/>
  <c r="C109" i="1"/>
  <c r="C124" i="1"/>
  <c r="C123" i="1"/>
  <c r="C121" i="1"/>
  <c r="C119" i="1"/>
  <c r="C118" i="1"/>
  <c r="C117" i="1"/>
  <c r="C131" i="1"/>
  <c r="C130" i="1"/>
  <c r="C116" i="1"/>
  <c r="C114" i="1"/>
  <c r="C108" i="1"/>
  <c r="C99" i="1"/>
  <c r="C98" i="1"/>
  <c r="C88" i="1"/>
  <c r="C86" i="1"/>
  <c r="C85" i="1"/>
  <c r="C96" i="1"/>
  <c r="C97" i="1"/>
  <c r="C95" i="1"/>
  <c r="C93" i="1"/>
  <c r="C92" i="1"/>
  <c r="C87" i="1"/>
  <c r="C91" i="1"/>
  <c r="C94" i="1"/>
  <c r="C78" i="1"/>
  <c r="C77" i="1"/>
  <c r="C76" i="1"/>
  <c r="C60" i="1"/>
  <c r="C75" i="1"/>
  <c r="C65" i="1"/>
  <c r="C64" i="1"/>
  <c r="C73" i="1"/>
  <c r="C72" i="1"/>
  <c r="C74" i="1"/>
  <c r="C71" i="1"/>
  <c r="C63" i="1"/>
  <c r="C70" i="1"/>
  <c r="C48" i="1"/>
  <c r="C52" i="1"/>
  <c r="C49" i="1"/>
  <c r="C45" i="1"/>
  <c r="C47" i="1"/>
  <c r="M338" i="1" l="1"/>
  <c r="M662" i="1"/>
  <c r="M317" i="1"/>
  <c r="M598" i="1"/>
  <c r="M596" i="1" s="1"/>
  <c r="M33" i="1"/>
  <c r="M12" i="1" s="1"/>
  <c r="M353" i="1"/>
  <c r="M352" i="1" s="1"/>
  <c r="M645" i="1"/>
  <c r="M642" i="1" s="1"/>
  <c r="M667" i="1"/>
  <c r="M466" i="1"/>
  <c r="M486" i="1"/>
  <c r="M566" i="1"/>
  <c r="M561" i="1" s="1"/>
  <c r="M159" i="1"/>
  <c r="M225" i="1"/>
  <c r="M224" i="1" s="1"/>
  <c r="M334" i="1"/>
  <c r="M390" i="1"/>
  <c r="M620" i="1"/>
  <c r="M617" i="1" s="1"/>
  <c r="M687" i="1"/>
  <c r="M679" i="1" s="1"/>
  <c r="M512" i="1"/>
  <c r="M384" i="1"/>
  <c r="M380" i="1"/>
  <c r="M343" i="1"/>
  <c r="M139" i="1"/>
  <c r="M57" i="1"/>
  <c r="M291" i="1"/>
  <c r="M83" i="1"/>
  <c r="M427" i="1"/>
  <c r="M105" i="1"/>
  <c r="M191" i="1"/>
  <c r="M416" i="1"/>
  <c r="M409" i="1" s="1"/>
  <c r="M40" i="1"/>
  <c r="M448" i="1"/>
  <c r="M248" i="1"/>
  <c r="M656" i="1" l="1"/>
  <c r="M333" i="1"/>
  <c r="M379" i="1"/>
</calcChain>
</file>

<file path=xl/sharedStrings.xml><?xml version="1.0" encoding="utf-8"?>
<sst xmlns="http://schemas.openxmlformats.org/spreadsheetml/2006/main" count="4480" uniqueCount="2018">
  <si>
    <t xml:space="preserve">   ii) La amortiz, se realizará mediante cuotas semestrales, consecutivas y, en lo posible iguales; y, </t>
  </si>
  <si>
    <t xml:space="preserve">   iii) Se aplicará una tasa de interés basada en Libor.</t>
  </si>
  <si>
    <t>25/</t>
  </si>
  <si>
    <t>26/</t>
  </si>
  <si>
    <t xml:space="preserve">    Tramo II: € 4 200 000,00  3%</t>
  </si>
  <si>
    <t xml:space="preserve">"Proy. Asist. Téc. para el Seguimiento y Evalua. Sect. Socia. Marco  descentraliz." </t>
  </si>
  <si>
    <t>"Apoyo a la Refor. de Prog. de Superc. Pobreza y Desarrollo del Capital Humano"</t>
  </si>
  <si>
    <t>(En miles de unidades monetarias)</t>
  </si>
  <si>
    <t>Acreedor</t>
  </si>
  <si>
    <t>FINALIDAD</t>
  </si>
  <si>
    <t>Amortiz.</t>
  </si>
  <si>
    <t>Agricultura</t>
  </si>
  <si>
    <t>ENCI</t>
  </si>
  <si>
    <t>MEF</t>
  </si>
  <si>
    <t xml:space="preserve">     3% - 4%</t>
  </si>
  <si>
    <t xml:space="preserve">  5A</t>
  </si>
  <si>
    <t xml:space="preserve">21A  </t>
  </si>
  <si>
    <t>D.S.  154-90-EF</t>
  </si>
  <si>
    <t>US$</t>
  </si>
  <si>
    <t>D.S.  240-90-EF</t>
  </si>
  <si>
    <t xml:space="preserve">Mediocredito Centrale </t>
  </si>
  <si>
    <t>Transportes</t>
  </si>
  <si>
    <t xml:space="preserve">10A </t>
  </si>
  <si>
    <t xml:space="preserve"> 10A </t>
  </si>
  <si>
    <t>Gobierno de Rusia</t>
  </si>
  <si>
    <t>Defensa Nacional</t>
  </si>
  <si>
    <t>Defensa</t>
  </si>
  <si>
    <t>M. Defensa</t>
  </si>
  <si>
    <t xml:space="preserve">  1A</t>
  </si>
  <si>
    <t xml:space="preserve">  9A</t>
  </si>
  <si>
    <t>R.M.  518-90-EF</t>
  </si>
  <si>
    <t>RBL</t>
  </si>
  <si>
    <t>Gob.de Argentina</t>
  </si>
  <si>
    <t>Adquisición de trigo y harina</t>
  </si>
  <si>
    <t xml:space="preserve">Rep. Popular China  </t>
  </si>
  <si>
    <t xml:space="preserve">Perforación de 80 pozos </t>
  </si>
  <si>
    <t>M. Agricultura</t>
  </si>
  <si>
    <t>10A</t>
  </si>
  <si>
    <t>R.M.  606-90-EF</t>
  </si>
  <si>
    <t>£</t>
  </si>
  <si>
    <t>Banco do Brasil</t>
  </si>
  <si>
    <t>Proyecto Chavimochic</t>
  </si>
  <si>
    <t>Proy.Esp.Chavimochic</t>
  </si>
  <si>
    <t>Lib.+0.8125</t>
  </si>
  <si>
    <t xml:space="preserve">  3A</t>
  </si>
  <si>
    <t xml:space="preserve">  5A </t>
  </si>
  <si>
    <t xml:space="preserve">  7A</t>
  </si>
  <si>
    <t xml:space="preserve">Rep. Popular China   </t>
  </si>
  <si>
    <t>Planta Cemento de Rioja</t>
  </si>
  <si>
    <t>Industria</t>
  </si>
  <si>
    <t>Gob. Reg. San Martín</t>
  </si>
  <si>
    <t>R.M.  591-90-EF</t>
  </si>
  <si>
    <t xml:space="preserve">BID   631-OC-PE    </t>
  </si>
  <si>
    <t>Prog. Sector Comercio</t>
  </si>
  <si>
    <t>Economía</t>
  </si>
  <si>
    <t>BID</t>
  </si>
  <si>
    <t xml:space="preserve">  6A  6M</t>
  </si>
  <si>
    <t>14A  6M</t>
  </si>
  <si>
    <t xml:space="preserve">BID   665-OC-PE    </t>
  </si>
  <si>
    <t>Asist. Tec. Prog. Sector Comercio</t>
  </si>
  <si>
    <t>M.Indust. Aeroespacial</t>
  </si>
  <si>
    <t xml:space="preserve">  6A</t>
  </si>
  <si>
    <t xml:space="preserve">CAF    </t>
  </si>
  <si>
    <t xml:space="preserve">Exportación Sector Minero </t>
  </si>
  <si>
    <t>Energía y Minas</t>
  </si>
  <si>
    <t>Banco de la Nación</t>
  </si>
  <si>
    <t>Libor + 2.0%</t>
  </si>
  <si>
    <t xml:space="preserve">  1A  1M</t>
  </si>
  <si>
    <t>Prog. Crédito Multisectorial</t>
  </si>
  <si>
    <t>COFIDE</t>
  </si>
  <si>
    <t>OECF</t>
  </si>
  <si>
    <t>Prog. Sector Comercio, Cofinan. BID</t>
  </si>
  <si>
    <t xml:space="preserve">  9A  6M</t>
  </si>
  <si>
    <t>20A  6M</t>
  </si>
  <si>
    <t>¥</t>
  </si>
  <si>
    <t xml:space="preserve">L.T. Mantaro-Pisco </t>
  </si>
  <si>
    <t>ElectroPerú</t>
  </si>
  <si>
    <t xml:space="preserve">        7M </t>
  </si>
  <si>
    <t xml:space="preserve">  4A  6M</t>
  </si>
  <si>
    <t xml:space="preserve">BID   651-OC-PE    </t>
  </si>
  <si>
    <t>Carreteras I</t>
  </si>
  <si>
    <t>M. Transportes</t>
  </si>
  <si>
    <t xml:space="preserve">  3A  6M</t>
  </si>
  <si>
    <t>16A  6M</t>
  </si>
  <si>
    <t>D.S.  001-92-EF</t>
  </si>
  <si>
    <t xml:space="preserve">Exportacion Sector Minero </t>
  </si>
  <si>
    <t>D.S.  075-92-EF</t>
  </si>
  <si>
    <t>Quebrada Canto Grande</t>
  </si>
  <si>
    <t>Saneamiento</t>
  </si>
  <si>
    <t>SEDAPAL</t>
  </si>
  <si>
    <t xml:space="preserve">10A  6M </t>
  </si>
  <si>
    <t>D.S.  074-92-EF</t>
  </si>
  <si>
    <t>LIR</t>
  </si>
  <si>
    <t xml:space="preserve">        6M </t>
  </si>
  <si>
    <t>D.S.  140-92-EF</t>
  </si>
  <si>
    <t>Muelle de Carga Liquida</t>
  </si>
  <si>
    <t>PetroPerú</t>
  </si>
  <si>
    <t>CAF</t>
  </si>
  <si>
    <t>D.S.  117-92-EF</t>
  </si>
  <si>
    <t xml:space="preserve">Proyecto Petrolera Chambira </t>
  </si>
  <si>
    <t xml:space="preserve">  2A  6M </t>
  </si>
  <si>
    <t xml:space="preserve">  5A  6M</t>
  </si>
  <si>
    <t>D.S.  158-92-EF</t>
  </si>
  <si>
    <t xml:space="preserve">BID   677-OC-PE    </t>
  </si>
  <si>
    <t>Prog. Sector Financiero</t>
  </si>
  <si>
    <t>D.S.  124-92-EF</t>
  </si>
  <si>
    <t xml:space="preserve">BID   678-OC-PE    </t>
  </si>
  <si>
    <t>Asist. Tec. Prog. Sector Financiero</t>
  </si>
  <si>
    <t>Majes I etapa</t>
  </si>
  <si>
    <t>D.S.  152-92-EF</t>
  </si>
  <si>
    <t>ECU</t>
  </si>
  <si>
    <t>Adq. 32 Grupos Electrogenos</t>
  </si>
  <si>
    <t>D.S.  159-92-EF</t>
  </si>
  <si>
    <t xml:space="preserve">BIRF   3540 - PE    </t>
  </si>
  <si>
    <t>Asist. Técnica Privatización</t>
  </si>
  <si>
    <t>COPRI</t>
  </si>
  <si>
    <t>BIRF</t>
  </si>
  <si>
    <t>14A 6M</t>
  </si>
  <si>
    <t>D.S.  186-92-EF</t>
  </si>
  <si>
    <t>Soinco Saci</t>
  </si>
  <si>
    <t>Sistema Eléctrico Regional</t>
  </si>
  <si>
    <t xml:space="preserve">  2A </t>
  </si>
  <si>
    <t>D.S.  188-92-EF</t>
  </si>
  <si>
    <t xml:space="preserve">BIRF   3437 - PE    </t>
  </si>
  <si>
    <t>D.S.  190-92-EF</t>
  </si>
  <si>
    <t xml:space="preserve">BIRF   3452 - PE    </t>
  </si>
  <si>
    <t xml:space="preserve">BIRF   3489 - PE    </t>
  </si>
  <si>
    <t xml:space="preserve">OECF   </t>
  </si>
  <si>
    <t>20A</t>
  </si>
  <si>
    <t>D.S.  210-92-EF</t>
  </si>
  <si>
    <t xml:space="preserve">FIDA   297-PE    </t>
  </si>
  <si>
    <t>Tecn. Comunidades Campesinas</t>
  </si>
  <si>
    <t>D.S.  087-93-EF</t>
  </si>
  <si>
    <t>DEG</t>
  </si>
  <si>
    <t xml:space="preserve">BID   775-OC-PE    </t>
  </si>
  <si>
    <t>R.M.  265-93-EF</t>
  </si>
  <si>
    <t>Gobierno de Francia</t>
  </si>
  <si>
    <t>D.S.  145-93-EF</t>
  </si>
  <si>
    <t>Fr.Fr.</t>
  </si>
  <si>
    <t xml:space="preserve">BID   741-OC-PE    </t>
  </si>
  <si>
    <t>Prog. Fortalecimiento Salud</t>
  </si>
  <si>
    <t>Salud</t>
  </si>
  <si>
    <t>M. Salud</t>
  </si>
  <si>
    <t>D.S.  053-93-EF</t>
  </si>
  <si>
    <t xml:space="preserve">BIRF   3595 - PE    </t>
  </si>
  <si>
    <t>Prog. Ajuste para Privatización</t>
  </si>
  <si>
    <t>D.S.  059-93-EF</t>
  </si>
  <si>
    <t>M.Indust.Aeroespacial</t>
  </si>
  <si>
    <t xml:space="preserve">  1A </t>
  </si>
  <si>
    <t>D.S.  160-93-EF</t>
  </si>
  <si>
    <t>BIRF P066-0 PE (regularización)</t>
  </si>
  <si>
    <t>Asist. Téc. Plan Nac. Agua Potable</t>
  </si>
  <si>
    <t xml:space="preserve"> 5A</t>
  </si>
  <si>
    <t>D.S.  105-93-EF</t>
  </si>
  <si>
    <t xml:space="preserve">BIRF   3610 - PE    </t>
  </si>
  <si>
    <t>Asist. Técnica Sector Energía</t>
  </si>
  <si>
    <t>M. Energía y Minas</t>
  </si>
  <si>
    <t>D.S.  149-93-EF</t>
  </si>
  <si>
    <t>BIRF P213 PE</t>
  </si>
  <si>
    <t>Prep Proy Rehabilitación Transportes</t>
  </si>
  <si>
    <t xml:space="preserve">        6M</t>
  </si>
  <si>
    <t>D.S.  130-93-EF</t>
  </si>
  <si>
    <t>Eximbank</t>
  </si>
  <si>
    <t>Adq. equipo japonés</t>
  </si>
  <si>
    <t xml:space="preserve">  6M </t>
  </si>
  <si>
    <t>9A 6M</t>
  </si>
  <si>
    <t>D.S.  138-93-EF</t>
  </si>
  <si>
    <t xml:space="preserve">Gobierno de Rusia   </t>
  </si>
  <si>
    <t>L.T. Chiclayo-Olmos</t>
  </si>
  <si>
    <t xml:space="preserve">  8A</t>
  </si>
  <si>
    <t>R.M.  240-93-EF</t>
  </si>
  <si>
    <t>SEDAPAR</t>
  </si>
  <si>
    <t>30A</t>
  </si>
  <si>
    <t>D.S.  143-93-EF</t>
  </si>
  <si>
    <t>DM</t>
  </si>
  <si>
    <t>Prog. Ajuste Estruct., Cofinan. BIRF</t>
  </si>
  <si>
    <t>D.S.  159-93-EF</t>
  </si>
  <si>
    <t xml:space="preserve">BID   806-OC-PE    </t>
  </si>
  <si>
    <t>FONCODES</t>
  </si>
  <si>
    <t xml:space="preserve">15A </t>
  </si>
  <si>
    <t>D.S.  164-93-EF</t>
  </si>
  <si>
    <t xml:space="preserve">BIRF   3684 - PE    </t>
  </si>
  <si>
    <t>D.S.  165-93-EF</t>
  </si>
  <si>
    <t xml:space="preserve">BIRF   3701 - PE    </t>
  </si>
  <si>
    <t>Salud y Nutrición Básica</t>
  </si>
  <si>
    <t>15A</t>
  </si>
  <si>
    <t>D.S.  023-94-EF</t>
  </si>
  <si>
    <t xml:space="preserve">BIRF   3717 - PE    </t>
  </si>
  <si>
    <t>Rehabilitación de Transportes</t>
  </si>
  <si>
    <t>D.S.  058-94-EF</t>
  </si>
  <si>
    <t>D.S.  030-94-EF</t>
  </si>
  <si>
    <t xml:space="preserve">BID   790-OC-PE    </t>
  </si>
  <si>
    <t>Rest. Subsector Eléctrico</t>
  </si>
  <si>
    <t>M.Energía y Minas</t>
  </si>
  <si>
    <t>D.S.  035-94-EF</t>
  </si>
  <si>
    <t>Estud. carret. Ilo-Desaguadero</t>
  </si>
  <si>
    <t>Libor + 2.5%</t>
  </si>
  <si>
    <t>D.S.  060-94-EF</t>
  </si>
  <si>
    <t xml:space="preserve">Bank  of  China  </t>
  </si>
  <si>
    <t>Adq. maquinaria y tractores</t>
  </si>
  <si>
    <t>M. Presidencia</t>
  </si>
  <si>
    <t xml:space="preserve">  2A  6M</t>
  </si>
  <si>
    <t>D.S.  068-94-EF</t>
  </si>
  <si>
    <t>Prog. Crédito Multisectorial de Reconversión</t>
  </si>
  <si>
    <t>D.S.  069-94-EF</t>
  </si>
  <si>
    <t xml:space="preserve">Rehabilitación de carreteras </t>
  </si>
  <si>
    <t xml:space="preserve">  7A  6M</t>
  </si>
  <si>
    <t>China Nat. Aero Techno</t>
  </si>
  <si>
    <t xml:space="preserve">BIRF   3810 - PE    </t>
  </si>
  <si>
    <t>Privatización Sector Eléctrico</t>
  </si>
  <si>
    <t xml:space="preserve">BID   836-OC-PE    </t>
  </si>
  <si>
    <t xml:space="preserve">BID   847-OC-PE    </t>
  </si>
  <si>
    <t>Apoyo  Sector  Saneamiento</t>
  </si>
  <si>
    <t>SEDALIB</t>
  </si>
  <si>
    <t xml:space="preserve">BID   820-OC-PE    </t>
  </si>
  <si>
    <t>Prog. Modernización Aduanas</t>
  </si>
  <si>
    <t xml:space="preserve">  3A </t>
  </si>
  <si>
    <t>17A</t>
  </si>
  <si>
    <t xml:space="preserve">Banco Español Crédito  </t>
  </si>
  <si>
    <t xml:space="preserve">  8A 6M</t>
  </si>
  <si>
    <t>Industrias Aeronáut.</t>
  </si>
  <si>
    <t>Proveedor</t>
  </si>
  <si>
    <t>Mobetec Represent.</t>
  </si>
  <si>
    <t>INADE</t>
  </si>
  <si>
    <t>OPEC</t>
  </si>
  <si>
    <t>Rehabilitación Aeropuerto Lima</t>
  </si>
  <si>
    <t>11A  6M</t>
  </si>
  <si>
    <t xml:space="preserve">BIRF   3811 - PE    </t>
  </si>
  <si>
    <t>Sistema de Agua Potable y Alc.Lima-Callao</t>
  </si>
  <si>
    <t xml:space="preserve">C.Termoeléc. Calana-Tacna </t>
  </si>
  <si>
    <t xml:space="preserve">ElectoPerú </t>
  </si>
  <si>
    <t>Fondos + 2%</t>
  </si>
  <si>
    <t xml:space="preserve">  1A  6M</t>
  </si>
  <si>
    <t xml:space="preserve">  4A </t>
  </si>
  <si>
    <t xml:space="preserve">15A  </t>
  </si>
  <si>
    <t xml:space="preserve">BID   852-OC-PE    </t>
  </si>
  <si>
    <t>D.S.  022-95-EF</t>
  </si>
  <si>
    <t>Proyecto San Gabán II</t>
  </si>
  <si>
    <t>D.S.  034-95-EF</t>
  </si>
  <si>
    <t>Rep. Popular China</t>
  </si>
  <si>
    <t>Planta Cemento Horno Vertical Rioja</t>
  </si>
  <si>
    <t>D.S.  052-95-EF</t>
  </si>
  <si>
    <t>L.E.</t>
  </si>
  <si>
    <t>BEI</t>
  </si>
  <si>
    <t>Proyecto Carretera Panamericana</t>
  </si>
  <si>
    <t>16A</t>
  </si>
  <si>
    <t>D.S.  109-95-EF</t>
  </si>
  <si>
    <t>Ampli. Prog. Riego Zona Andina Sur</t>
  </si>
  <si>
    <t>Plan Meriss-Inka</t>
  </si>
  <si>
    <t>D.S.  124-95-EF</t>
  </si>
  <si>
    <t>BID 902-OC-PE</t>
  </si>
  <si>
    <t>Prog. mejoramiento inversión pública</t>
  </si>
  <si>
    <t>15A  6M</t>
  </si>
  <si>
    <t>D.S.  152-95-EF</t>
  </si>
  <si>
    <t>BIRF 3962 - PE</t>
  </si>
  <si>
    <t>Rehabilitación caminos rurales</t>
  </si>
  <si>
    <t xml:space="preserve"> 11A  6M</t>
  </si>
  <si>
    <t>D.S.  153-95-EF</t>
  </si>
  <si>
    <t>BID 901-OC-PE</t>
  </si>
  <si>
    <t xml:space="preserve">  4A  </t>
  </si>
  <si>
    <t xml:space="preserve"> 21A</t>
  </si>
  <si>
    <t>D.S.  154-95-EF</t>
  </si>
  <si>
    <t>BIRF 3826 - PE</t>
  </si>
  <si>
    <t>Mejoramiento educación primaria</t>
  </si>
  <si>
    <t xml:space="preserve">Educación </t>
  </si>
  <si>
    <t>M. Educación</t>
  </si>
  <si>
    <t>D.S.  155-95-EF</t>
  </si>
  <si>
    <t>Ampliación agua potable Chiclayo</t>
  </si>
  <si>
    <t>EMAPAL</t>
  </si>
  <si>
    <t xml:space="preserve">  6A </t>
  </si>
  <si>
    <t>19A</t>
  </si>
  <si>
    <t>D.S.  156-95-EF</t>
  </si>
  <si>
    <t>BID 958-SF-PE</t>
  </si>
  <si>
    <t>Prog. global crédito microempresa</t>
  </si>
  <si>
    <t xml:space="preserve">  7A </t>
  </si>
  <si>
    <t>23A</t>
  </si>
  <si>
    <t>D.S.  167-95-EF</t>
  </si>
  <si>
    <t>ICO</t>
  </si>
  <si>
    <t>D.S.  163-95-EF</t>
  </si>
  <si>
    <t>Programa multisectorial de crédito</t>
  </si>
  <si>
    <t>6A</t>
  </si>
  <si>
    <t>Superv. Proy. entrega de Agua Dulce</t>
  </si>
  <si>
    <t>Agua potable Lima-Callao</t>
  </si>
  <si>
    <t xml:space="preserve">  10A </t>
  </si>
  <si>
    <t>Desarrollo Puerto del Callao</t>
  </si>
  <si>
    <t>Proyecto Carretera Ilo desaguadero</t>
  </si>
  <si>
    <t>6A  6M</t>
  </si>
  <si>
    <t>Titulación y Registro de Tierras</t>
  </si>
  <si>
    <t>FIDA</t>
  </si>
  <si>
    <t>14A</t>
  </si>
  <si>
    <t>Foncodes II ETAPA</t>
  </si>
  <si>
    <t>D.S. 076-96-EF</t>
  </si>
  <si>
    <t xml:space="preserve">Mej. Carr.Corral Quemado-Río NIeva </t>
  </si>
  <si>
    <t>20-30A</t>
  </si>
  <si>
    <t>D.S. 065-96-EF</t>
  </si>
  <si>
    <t xml:space="preserve"> 12A</t>
  </si>
  <si>
    <t>D.S. 083-96-EF</t>
  </si>
  <si>
    <t>Gobierno de China</t>
  </si>
  <si>
    <t>Adq.Directa de Maquinas y Equipos</t>
  </si>
  <si>
    <t xml:space="preserve"> 10A</t>
  </si>
  <si>
    <t>Proy. Subsectorial de Irrigación</t>
  </si>
  <si>
    <t xml:space="preserve">  4A</t>
  </si>
  <si>
    <t xml:space="preserve"> 13A</t>
  </si>
  <si>
    <t>D.S. 084-96-EF</t>
  </si>
  <si>
    <t xml:space="preserve"> 1A 6M</t>
  </si>
  <si>
    <t>D.S. 092-96-EF</t>
  </si>
  <si>
    <t>Trabajo</t>
  </si>
  <si>
    <t>M. Trabajo</t>
  </si>
  <si>
    <t>1A 6M</t>
  </si>
  <si>
    <t>5A</t>
  </si>
  <si>
    <t>D.S.108-96-EF</t>
  </si>
  <si>
    <t>Central Hidroeléctrica Yuncán</t>
  </si>
  <si>
    <t xml:space="preserve"> 18A</t>
  </si>
  <si>
    <t>Rehabilitación de Carreteras Rurales</t>
  </si>
  <si>
    <t>Mejor. Alcantarillado Zona Sur de Lima</t>
  </si>
  <si>
    <t>Subsectorial de Irrigación</t>
  </si>
  <si>
    <t xml:space="preserve">              3%</t>
  </si>
  <si>
    <t xml:space="preserve"> 20A</t>
  </si>
  <si>
    <t>Mejoram. Calidad Educación</t>
  </si>
  <si>
    <t>Educación</t>
  </si>
  <si>
    <t>Gobierno China</t>
  </si>
  <si>
    <t>Adq. Maq. ind. calzado,confecc.,tejido</t>
  </si>
  <si>
    <t>5 A</t>
  </si>
  <si>
    <t>Prog. reforma sector inversiones</t>
  </si>
  <si>
    <t>5.5A</t>
  </si>
  <si>
    <t>14.5A</t>
  </si>
  <si>
    <t>D.S.126-96-EF</t>
  </si>
  <si>
    <t>KfW</t>
  </si>
  <si>
    <t>Agua potable y desague Pisco</t>
  </si>
  <si>
    <t>EMAPISCO</t>
  </si>
  <si>
    <t>D.S.129-96-EF</t>
  </si>
  <si>
    <t>Obras aguas servidas Pampa Estrella</t>
  </si>
  <si>
    <t>D.S.131-96-EF</t>
  </si>
  <si>
    <t>FMI</t>
  </si>
  <si>
    <t>Implementar Plan Financiero 1996</t>
  </si>
  <si>
    <t>D.U.113-96</t>
  </si>
  <si>
    <t>Prog. Reducción Deuda y de su Servicio</t>
  </si>
  <si>
    <t>D.S.008-97-EF</t>
  </si>
  <si>
    <t>Bank of China</t>
  </si>
  <si>
    <t>Adq. Maquinas y herramientas</t>
  </si>
  <si>
    <t>CIRR</t>
  </si>
  <si>
    <t>0.5A</t>
  </si>
  <si>
    <t>6.5A</t>
  </si>
  <si>
    <t>D.U.009-97</t>
  </si>
  <si>
    <t xml:space="preserve">US$ </t>
  </si>
  <si>
    <t>12A</t>
  </si>
  <si>
    <t>D.S.012-97-EF</t>
  </si>
  <si>
    <t>4A</t>
  </si>
  <si>
    <t>D.S.017-97-EF</t>
  </si>
  <si>
    <t>D.S.018-97-EF</t>
  </si>
  <si>
    <t>Manejo de Recursos Nat. alivio en Sierra</t>
  </si>
  <si>
    <t>13A</t>
  </si>
  <si>
    <t>D.S.031-97-EF</t>
  </si>
  <si>
    <t>Foncodes II Etapa</t>
  </si>
  <si>
    <t>D.S.063-97-EF</t>
  </si>
  <si>
    <t>Prog. Obras Amb. Chavimochic Etapa II</t>
  </si>
  <si>
    <t>1A</t>
  </si>
  <si>
    <t>7A</t>
  </si>
  <si>
    <t>D.S.081-97-EF</t>
  </si>
  <si>
    <t>Prog. de Desarrollo de la Sanidad Agropecuaria</t>
  </si>
  <si>
    <t>D.S.125-97-EF</t>
  </si>
  <si>
    <t>M. de la Mujer</t>
  </si>
  <si>
    <t>D.S.144-97-EF</t>
  </si>
  <si>
    <t>Prog. de Ampliación de la Frontera Eléctrica (I)</t>
  </si>
  <si>
    <t>M. Energía</t>
  </si>
  <si>
    <t>2.7% - 2.3%</t>
  </si>
  <si>
    <t>18A</t>
  </si>
  <si>
    <t>D.S.145-97-EF</t>
  </si>
  <si>
    <t>Proy. de Trasvase Pomacocha-Río Blanco</t>
  </si>
  <si>
    <t>2.5% - 2.1%</t>
  </si>
  <si>
    <t>D.S.146-97-EF</t>
  </si>
  <si>
    <t>2.5% - 2.7%</t>
  </si>
  <si>
    <t>D.S.147-97-EF</t>
  </si>
  <si>
    <t>D.S.148-97-EF</t>
  </si>
  <si>
    <t>Proy, de Rehabilit. y Mejor. Carreteras Rurales</t>
  </si>
  <si>
    <t>M. de Transportes</t>
  </si>
  <si>
    <t>D.S.149-97-EF</t>
  </si>
  <si>
    <t>Prog. de Riego Zona Andina Sur III</t>
  </si>
  <si>
    <t>D.S.160-97-EF</t>
  </si>
  <si>
    <t>Prog. de Mejoramiento del Acceso a la Justicia</t>
  </si>
  <si>
    <t>Justicia</t>
  </si>
  <si>
    <t>Poder Judicial</t>
  </si>
  <si>
    <t>D.S.165-97-EF</t>
  </si>
  <si>
    <t xml:space="preserve">Prog. Apoyo a la Emergencia Fenómeno El Niño </t>
  </si>
  <si>
    <t>Multisectorial</t>
  </si>
  <si>
    <t>3A</t>
  </si>
  <si>
    <t>22A</t>
  </si>
  <si>
    <t>D.S.166-97-EF</t>
  </si>
  <si>
    <t>D.S.167-97-EF</t>
  </si>
  <si>
    <t>Proyecto Reforma Judicial</t>
  </si>
  <si>
    <t>D.S.168-97-EF</t>
  </si>
  <si>
    <t xml:space="preserve">2A </t>
  </si>
  <si>
    <t>D.S.170-97-EF</t>
  </si>
  <si>
    <t>SUNAT</t>
  </si>
  <si>
    <t>D.S.174-97-EF</t>
  </si>
  <si>
    <t>Desarrollo Vial Jaén-San Ignacio-Bagua</t>
  </si>
  <si>
    <t>D.S.175-97-EF</t>
  </si>
  <si>
    <t>Plan Nacional de Capacitación Docente</t>
  </si>
  <si>
    <t>M. de Educación</t>
  </si>
  <si>
    <t>D.S.184-97-EF</t>
  </si>
  <si>
    <t xml:space="preserve">SECTOR </t>
  </si>
  <si>
    <t>U. M.</t>
  </si>
  <si>
    <t>Programa Multisectorial de Crédito - II Etapa</t>
  </si>
  <si>
    <t>D.S. 008-99-EF</t>
  </si>
  <si>
    <t>Prog. Nac. Atención menor de 3 años - Wawa Wasi I</t>
  </si>
  <si>
    <t>PROMUDEH</t>
  </si>
  <si>
    <t>D.S. 009-99-EF</t>
  </si>
  <si>
    <t>Rehabilitación Obras del Proyecto Chavimochic</t>
  </si>
  <si>
    <t>2A</t>
  </si>
  <si>
    <t>D.S. 015-99-EF</t>
  </si>
  <si>
    <t>Ciber Eq. Rodoviarios</t>
  </si>
  <si>
    <t>Adquisición de 10 Trenes de Asfalto</t>
  </si>
  <si>
    <t>5A 6M</t>
  </si>
  <si>
    <t>D.S. 027-99-EF</t>
  </si>
  <si>
    <t>Bitelli S.p.A.</t>
  </si>
  <si>
    <t>D.S. 028-99-EF</t>
  </si>
  <si>
    <t>Manejo Recursos Naturales Alivio a la Pobreza II</t>
  </si>
  <si>
    <t>PRONAMACHS</t>
  </si>
  <si>
    <t>D.S. 046-99-EF</t>
  </si>
  <si>
    <t>D.S. 047-99-EF</t>
  </si>
  <si>
    <t>Desarrollo del Sector Social en el Area de la Sierra</t>
  </si>
  <si>
    <t>D.S. 048-99-EF</t>
  </si>
  <si>
    <t>Programa de Ampliación de Frontera Eléctrica (II)</t>
  </si>
  <si>
    <t>D.S. 049-99-EF</t>
  </si>
  <si>
    <t>Rehabilitación Carreteras Afectadas por el Niño</t>
  </si>
  <si>
    <t>D.S. 050-99-EF</t>
  </si>
  <si>
    <t>Desarrollo Integral Alto Mayo</t>
  </si>
  <si>
    <t>D.S. 058-99-EF</t>
  </si>
  <si>
    <t>Agua Potable y Alcantarillado de Ayacucho</t>
  </si>
  <si>
    <t>EPS Ayacucho</t>
  </si>
  <si>
    <t>D.S. 062-99-EF</t>
  </si>
  <si>
    <t>OPEC Fund</t>
  </si>
  <si>
    <t>Programa Global de Crédito para la Microempresa</t>
  </si>
  <si>
    <t>D.S. 066-99-EF</t>
  </si>
  <si>
    <t>EXIMBANK</t>
  </si>
  <si>
    <t>D.S. 079-99-EF</t>
  </si>
  <si>
    <t>Agua Potable y Saneamiento de Cajamarca</t>
  </si>
  <si>
    <t>EPS SEDACAJ</t>
  </si>
  <si>
    <t>D.S. 086-99-EF</t>
  </si>
  <si>
    <t>Programa de Ajuste del Sector Financiero  II</t>
  </si>
  <si>
    <t>UCPS - MEF</t>
  </si>
  <si>
    <t>D.S. 098-99-EF</t>
  </si>
  <si>
    <t>Rehabilitación Carretera Rioja Tarapoto</t>
  </si>
  <si>
    <t>8A</t>
  </si>
  <si>
    <t>D.S. 111-99-EF</t>
  </si>
  <si>
    <t>Svedala Faco Ltda</t>
  </si>
  <si>
    <t>D.S. 116-99-EF</t>
  </si>
  <si>
    <t>Proyecto Central Hidroeléctrica San Gabán II</t>
  </si>
  <si>
    <t>SAN GABAN</t>
  </si>
  <si>
    <t>8A 6M</t>
  </si>
  <si>
    <t>D.S. 130-99-EF</t>
  </si>
  <si>
    <t>Programa de Reforma del Sector Financiero II</t>
  </si>
  <si>
    <t>D.S. 142-99-EF</t>
  </si>
  <si>
    <t>Coop. Téc. para ejecutar Prog. Ref. Sector Financ. II</t>
  </si>
  <si>
    <t>4A 6M</t>
  </si>
  <si>
    <t>15A 6M</t>
  </si>
  <si>
    <t>D.S. 145-99-EF</t>
  </si>
  <si>
    <t>First Union Bank</t>
  </si>
  <si>
    <t>Adq. De Inmueble - Misión Permanente ONU en NY</t>
  </si>
  <si>
    <t>0A</t>
  </si>
  <si>
    <t>D.S. 153-99-EF</t>
  </si>
  <si>
    <t>D.S. 155-99-EF</t>
  </si>
  <si>
    <t>6M</t>
  </si>
  <si>
    <t>6A 6M</t>
  </si>
  <si>
    <t>JBIC</t>
  </si>
  <si>
    <t>Programa de Equipamiento Básico Municipal</t>
  </si>
  <si>
    <t>Presidencia</t>
  </si>
  <si>
    <t>3M</t>
  </si>
  <si>
    <t>D.S. 163-99-EF</t>
  </si>
  <si>
    <t>D.S. 030-98-EF</t>
  </si>
  <si>
    <t>CCC</t>
  </si>
  <si>
    <t>Gobierno de  EE. UU.</t>
  </si>
  <si>
    <t>Adquisición de Trigo</t>
  </si>
  <si>
    <t>Unidad Esp. AID</t>
  </si>
  <si>
    <t>25A</t>
  </si>
  <si>
    <t>D.S. 078-98-EF</t>
  </si>
  <si>
    <t>Prog. Apoyo Implementación SIAF-SP</t>
  </si>
  <si>
    <t>M. de Economía</t>
  </si>
  <si>
    <t>18A 6M</t>
  </si>
  <si>
    <t>D.S. 088-98-EF</t>
  </si>
  <si>
    <t>Derechos de la Propiedad Urbana</t>
  </si>
  <si>
    <t>COFOPRI</t>
  </si>
  <si>
    <t>D.S. 098-98-EF</t>
  </si>
  <si>
    <t>D.S. 099-98-EF</t>
  </si>
  <si>
    <t>Rehab. Carretera Olmos - Corral Quemado</t>
  </si>
  <si>
    <t>D.S. 100-98-EF</t>
  </si>
  <si>
    <t>Sum. Eq. Instalac. Manten. Inst. Nac. Salud Niño</t>
  </si>
  <si>
    <t>D.S. 102-98-EF</t>
  </si>
  <si>
    <t>Fr. Fr.</t>
  </si>
  <si>
    <t>Sum. Eq. Instalac. Manten. Hospital Loayza</t>
  </si>
  <si>
    <t>Superv. de Proy. Hosp. Niño y Hosp. Loayza</t>
  </si>
  <si>
    <t>3A 6M</t>
  </si>
  <si>
    <t>16A 6M</t>
  </si>
  <si>
    <t>Prog. Pre-Inversión en el Sector Transporte</t>
  </si>
  <si>
    <t>2A 6M</t>
  </si>
  <si>
    <t>D.S. 113-98-EF</t>
  </si>
  <si>
    <t>D.S. 120-98-EF</t>
  </si>
  <si>
    <t>Programa Rehabil. y Mejor. Carreteras</t>
  </si>
  <si>
    <t>Adquisición de maquinaria pesada y agrícola</t>
  </si>
  <si>
    <t>M. de Agricultura</t>
  </si>
  <si>
    <t>D.S. 121-98-EF</t>
  </si>
  <si>
    <t>CORMED</t>
  </si>
  <si>
    <t>D.S. Nº 133-2008-EF</t>
  </si>
  <si>
    <t>D.S. Nº 135-2008-EF</t>
  </si>
  <si>
    <t>D.S. Nº 182-2008-EF</t>
  </si>
  <si>
    <t>D.S. Nº 036-2008-EF</t>
  </si>
  <si>
    <t>D.S. Nº 039-2008-EF</t>
  </si>
  <si>
    <t>D.S. Nº 062-2008-EF</t>
  </si>
  <si>
    <t>D.S. Nº 091-2008-EF</t>
  </si>
  <si>
    <t>D.S. Nº 094-2008-EF</t>
  </si>
  <si>
    <t>D.S. Nº 138-2008-EF</t>
  </si>
  <si>
    <t>D.S. Nº 152-2008-EF</t>
  </si>
  <si>
    <t>D.S. Nº 153-2008-EF</t>
  </si>
  <si>
    <t>D.S. Nº 174-2008-EF</t>
  </si>
  <si>
    <t>D.S. Nº 181-2008-EF</t>
  </si>
  <si>
    <t>JICA</t>
  </si>
  <si>
    <t>Programa de Apoyo a las Alianzas Rurales Productivas en la Sierra del Perú- ALIADOS</t>
  </si>
  <si>
    <t>Programa Programático de Reformas en los Sectores Sociales</t>
  </si>
  <si>
    <t>Programa de Reformas del Sector Sanemiento I</t>
  </si>
  <si>
    <t>Programa de Mejora de la Calidad de la Gestión y del Gasto Público III</t>
  </si>
  <si>
    <t>Programa Agua para Todos</t>
  </si>
  <si>
    <t>Préstamo Programático Gestión Fiscal y Crecimiento Económico I y II</t>
  </si>
  <si>
    <t>Proy. "Mej. y Ampliac. Sist. de Alcantarillado e Instalc. PTAR de la ciudad de Iquitos"</t>
  </si>
  <si>
    <t>Préstamo Programático Gestión Fiscal y Crecimiento Económico II</t>
  </si>
  <si>
    <t>Proy. "Fortalecimiento de los Activos, Mercados y Políticas para el Desarrollo Rural</t>
  </si>
  <si>
    <t>Programa de Reformas del Sector Saneamiento II</t>
  </si>
  <si>
    <t>Programa "Desarrollo de la Sanidad Agraria e Inocuidad Agro-Alimentaria"</t>
  </si>
  <si>
    <t>MARENASS</t>
  </si>
  <si>
    <t>G.Reg.Loreto</t>
  </si>
  <si>
    <t>MTC (Provías Nac.)</t>
  </si>
  <si>
    <t>3.5 años</t>
  </si>
  <si>
    <t>21 años</t>
  </si>
  <si>
    <t>7.5 años</t>
  </si>
  <si>
    <t xml:space="preserve">    - 0,4% Obras del proyecto</t>
  </si>
  <si>
    <t xml:space="preserve">    - 0,01% Gastos de Consultoría</t>
  </si>
  <si>
    <t>31/</t>
  </si>
  <si>
    <t>32/</t>
  </si>
  <si>
    <t>33/</t>
  </si>
  <si>
    <t>34/</t>
  </si>
  <si>
    <t>35/</t>
  </si>
  <si>
    <t>36/</t>
  </si>
  <si>
    <t>37/</t>
  </si>
  <si>
    <r>
      <t>32</t>
    </r>
    <r>
      <rPr>
        <b/>
        <sz val="10"/>
        <rFont val="Arial"/>
        <family val="2"/>
      </rPr>
      <t xml:space="preserve">/ </t>
    </r>
    <r>
      <rPr>
        <sz val="10"/>
        <rFont val="Arial"/>
        <family val="2"/>
      </rPr>
      <t>El plazo total del préstamo es de 15 años; será amortizado mediante seis (06) cuotas que vencerán el 15/05/2013, 15/11/2013, 15/05/2019, 15/11/2019, 15/05/2023 y 15/11/2023. Las condiciones financieras de esta operación de endeudamiento fue modificada por el D.S Nº 104-2008-EF.</t>
    </r>
  </si>
  <si>
    <r>
      <t>33</t>
    </r>
    <r>
      <rPr>
        <b/>
        <sz val="10"/>
        <rFont val="Arial"/>
        <family val="2"/>
      </rPr>
      <t xml:space="preserve">/ </t>
    </r>
    <r>
      <rPr>
        <sz val="10"/>
        <rFont val="Arial"/>
        <family val="2"/>
      </rPr>
      <t>El préstamo devengará la siguiente tasa de interés:</t>
    </r>
  </si>
  <si>
    <r>
      <t>31</t>
    </r>
    <r>
      <rPr>
        <b/>
        <sz val="10"/>
        <rFont val="Arial"/>
        <family val="2"/>
      </rPr>
      <t xml:space="preserve">/ </t>
    </r>
    <r>
      <rPr>
        <sz val="10"/>
        <rFont val="Arial"/>
        <family val="2"/>
      </rPr>
      <t>Será amortizado mediante dos cuotas que vencerán el 15/04/2018 y 15/10/2018.</t>
    </r>
  </si>
  <si>
    <t>M. de Defensa</t>
  </si>
  <si>
    <t>D.S. 122-98-EF</t>
  </si>
  <si>
    <t>Bco. Esp. de Crédito</t>
  </si>
  <si>
    <t>D.S. 137-98-EF</t>
  </si>
  <si>
    <t>DE MEDIANO Y LARGO PLAZO</t>
  </si>
  <si>
    <t>21A</t>
  </si>
  <si>
    <t>Gobierno de  EE. UU. (AID)</t>
  </si>
  <si>
    <t>USD</t>
  </si>
  <si>
    <t>Banca Comercial</t>
  </si>
  <si>
    <t>Pesqueria</t>
  </si>
  <si>
    <t>Organismos</t>
  </si>
  <si>
    <t>3A 6 M</t>
  </si>
  <si>
    <t>Gie impregilo</t>
  </si>
  <si>
    <t>C.H. Restitución</t>
  </si>
  <si>
    <t>Libor + 1,75%</t>
  </si>
  <si>
    <t>7A 3M</t>
  </si>
  <si>
    <t>ELECTROPERU</t>
  </si>
  <si>
    <t>L.T. Chiclayo Piura</t>
  </si>
  <si>
    <t>EXTEBANDES</t>
  </si>
  <si>
    <t>R.M. 324-92-EF/75</t>
  </si>
  <si>
    <t>II Etapa Chavimochic</t>
  </si>
  <si>
    <t>Prog. Reducción de Deuda y de su Servicio</t>
  </si>
  <si>
    <t>4.5A</t>
  </si>
  <si>
    <t>Prep. Prog Atención del Menor 3 años -WawaWasi</t>
  </si>
  <si>
    <t>Calidad de Aduana</t>
  </si>
  <si>
    <t>Proy. de Fortalecimiento SUNAT</t>
  </si>
  <si>
    <t>D.S. 008-2000-EF</t>
  </si>
  <si>
    <t>Prog.Sect. Reforma de las Finanzas Públicas</t>
  </si>
  <si>
    <t>MEF -UCPS</t>
  </si>
  <si>
    <t>D.S. 021-2000-EF</t>
  </si>
  <si>
    <t>Coop. Técnica Prog.Sect. De Finanzas Públicas</t>
  </si>
  <si>
    <t>D.S. 040-2000-EF</t>
  </si>
  <si>
    <t>Exp. Redes de Agua y Alcant. En Lima y Callao</t>
  </si>
  <si>
    <t>2A6M</t>
  </si>
  <si>
    <t>5A6M</t>
  </si>
  <si>
    <t>D.S. 069-2000-EF</t>
  </si>
  <si>
    <t>Adq.de 10  Trenes de Asfalto</t>
  </si>
  <si>
    <t>D.S. 081-2000-EF</t>
  </si>
  <si>
    <t>Gob.USA</t>
  </si>
  <si>
    <t>Importación de alimentos</t>
  </si>
  <si>
    <t>MEF-AID</t>
  </si>
  <si>
    <t>26A</t>
  </si>
  <si>
    <t>D.S. 093-2000-EF</t>
  </si>
  <si>
    <t>Proyecto de Investigación y Exten. Agrícola</t>
  </si>
  <si>
    <t>D.S. 094-2000-EF</t>
  </si>
  <si>
    <t>Proyecto de Desarrollo Social en la Sierra(II)</t>
  </si>
  <si>
    <t>7A-10A</t>
  </si>
  <si>
    <t>18A-30A</t>
  </si>
  <si>
    <t>D.S. 095-2000-EF</t>
  </si>
  <si>
    <t>PRONAMACHCS</t>
  </si>
  <si>
    <t>D.S.096-2000-EF</t>
  </si>
  <si>
    <t>1.7% - 0,75%</t>
  </si>
  <si>
    <t xml:space="preserve">            -</t>
  </si>
  <si>
    <t>D.S.097-2000-EF</t>
  </si>
  <si>
    <t>D.S.107-2000-EF</t>
  </si>
  <si>
    <t>KFW</t>
  </si>
  <si>
    <t>EMSA PUNO</t>
  </si>
  <si>
    <t>D:S.114-2000-EF</t>
  </si>
  <si>
    <t>MEF - ODI</t>
  </si>
  <si>
    <t>D:S.118-2000-EF</t>
  </si>
  <si>
    <t>D:S.119-2000-EF</t>
  </si>
  <si>
    <t>3A6M</t>
  </si>
  <si>
    <t>21A6M</t>
  </si>
  <si>
    <t>D:S.122-2000-EF</t>
  </si>
  <si>
    <t>D:S.132-2000-EF</t>
  </si>
  <si>
    <t>7A6M</t>
  </si>
  <si>
    <t>D:S.135-2000-EF</t>
  </si>
  <si>
    <t>LIB.6M+.3/4del 1%</t>
  </si>
  <si>
    <t xml:space="preserve">5A     </t>
  </si>
  <si>
    <t>MINISTERIO DE ECONOMIA Y FINANZAS</t>
  </si>
  <si>
    <t>R.fed del Brasil</t>
  </si>
  <si>
    <t xml:space="preserve">LIBOR </t>
  </si>
  <si>
    <t xml:space="preserve">1A 6M </t>
  </si>
  <si>
    <t>7A 6M</t>
  </si>
  <si>
    <t xml:space="preserve">6M </t>
  </si>
  <si>
    <t xml:space="preserve">EXIMBANK  </t>
  </si>
  <si>
    <t>D.S. 177-99-EF</t>
  </si>
  <si>
    <t>D.S. 193-99-EF</t>
  </si>
  <si>
    <t>-.-</t>
  </si>
  <si>
    <t>D.S. 178-99-EF</t>
  </si>
  <si>
    <t>D.S. 171-99-EF</t>
  </si>
  <si>
    <t>Inmueble para Consulado General del Perú en N.Y.</t>
  </si>
  <si>
    <t>Proy de Mej. y  Ampl. de  Agua Pot. y  Alc. Iquitos,Cusco,Sicuani.</t>
  </si>
  <si>
    <t>Proy. de Mej. de Agua y Alc.  en Areas Marginales de Lima</t>
  </si>
  <si>
    <t>Proyecto  de Agua Potable y Alcantarillado Puno</t>
  </si>
  <si>
    <t>Prog.para Recons. Obras de Infraest.Afectadas por Fenóm. Niño</t>
  </si>
  <si>
    <t>Prog. de Desarr. del Sector Salud, Seguro Materno Infantil</t>
  </si>
  <si>
    <t>Prog.  Multisectorial de Inversión Pública 2000-2001</t>
  </si>
  <si>
    <t>Proyecto Desarrollo de Pueblos Indígenas y Afro-Peruanos</t>
  </si>
  <si>
    <t>R.M. 142-94-EF</t>
  </si>
  <si>
    <t xml:space="preserve">R.M. 141-94-EF </t>
  </si>
  <si>
    <t>D.S. 119-94-EF</t>
  </si>
  <si>
    <t>D.S. 147-94-EF</t>
  </si>
  <si>
    <t>D.S. 146-94-EF</t>
  </si>
  <si>
    <t>D.S. 153-94-EF</t>
  </si>
  <si>
    <t>D.S. 154-94-EF</t>
  </si>
  <si>
    <t>D.S. 155-94-EF</t>
  </si>
  <si>
    <t>D.S. 162-94-EF</t>
  </si>
  <si>
    <t>D.S. 161-94-EF</t>
  </si>
  <si>
    <t>D.S. 181-94-EF</t>
  </si>
  <si>
    <t>D.S. 184-94-EF</t>
  </si>
  <si>
    <t>D.S. 176-94-EF</t>
  </si>
  <si>
    <t>D.S. 185-94-EF</t>
  </si>
  <si>
    <t>D.S. 022-96-EF</t>
  </si>
  <si>
    <t>D.S. 027-96-EF</t>
  </si>
  <si>
    <t>D.S. 038-96-EF</t>
  </si>
  <si>
    <t>D.S. 039-96-EF</t>
  </si>
  <si>
    <t>D.S.103-96-EF</t>
  </si>
  <si>
    <t>D.S.130-96-EF</t>
  </si>
  <si>
    <t>D.S.127-96-EF</t>
  </si>
  <si>
    <t>D.S.128-96-EF</t>
  </si>
  <si>
    <t>D.S.133-96-EF</t>
  </si>
  <si>
    <t>D.U. 059-96</t>
  </si>
  <si>
    <t>D.U. 111-96</t>
  </si>
  <si>
    <t>D.S. 054-96-EF</t>
  </si>
  <si>
    <t>D.S. 050-96-EF</t>
  </si>
  <si>
    <t>D.S. 043-96-EF</t>
  </si>
  <si>
    <t>D.U. 102-96</t>
  </si>
  <si>
    <t>D.U.  065-94</t>
  </si>
  <si>
    <t>R.M.  297-91-EF</t>
  </si>
  <si>
    <t xml:space="preserve">   D.S. 176-99-EF</t>
  </si>
  <si>
    <t xml:space="preserve">   D.U. 060-99</t>
  </si>
  <si>
    <t>SEDACUSCO</t>
  </si>
  <si>
    <t>RENOM</t>
  </si>
  <si>
    <t>SENAPA</t>
  </si>
  <si>
    <t>Bco. de la Nación</t>
  </si>
  <si>
    <t>M. Transportes -PERT</t>
  </si>
  <si>
    <t>D.LEG. 605</t>
  </si>
  <si>
    <t>Conservación de Alimentos</t>
  </si>
  <si>
    <t>D.LEG. 606</t>
  </si>
  <si>
    <t>D.LEG. 609</t>
  </si>
  <si>
    <t>Ministerio de Pesquería</t>
  </si>
  <si>
    <t>Prog. De Rehabilitación y Mejoram. De Carreteras</t>
  </si>
  <si>
    <t>D.S.  145-94-EF</t>
  </si>
  <si>
    <t>Sociales</t>
  </si>
  <si>
    <t>Otros</t>
  </si>
  <si>
    <t>M. Transportes - PERT</t>
  </si>
  <si>
    <t>Imp. Alimentos</t>
  </si>
  <si>
    <t>Presa Cuchoquesera</t>
  </si>
  <si>
    <t>3% - 4%</t>
  </si>
  <si>
    <t>MARENAS</t>
  </si>
  <si>
    <t>M. Relaciones Exteriores</t>
  </si>
  <si>
    <t>M. Presidencia-PRONAP</t>
  </si>
  <si>
    <t>M. Presidencia -PRONAP</t>
  </si>
  <si>
    <t>Países Socialistas</t>
  </si>
  <si>
    <t>Mediocredito Centrale</t>
  </si>
  <si>
    <t>Preparación Proyecto de Saneamiento</t>
  </si>
  <si>
    <t>Reestructuración Sub Sector eléctrico</t>
  </si>
  <si>
    <t>MEF-ADUANAS</t>
  </si>
  <si>
    <t>Bco. Europeo de Inv.</t>
  </si>
  <si>
    <t>Prog. Global de Crédito a Microempresa II</t>
  </si>
  <si>
    <t>Fomento a la Pequeña y Microempresa</t>
  </si>
  <si>
    <t>Proy. de Desarr.del Corredor Puno-Cusco</t>
  </si>
  <si>
    <t>Programa de Ajuste del Sector Financiero II</t>
  </si>
  <si>
    <t>Prog. de Pre-inver. Región Fronteriza</t>
  </si>
  <si>
    <t>Mejoram.  Calidad de la Educación Secundaria - I</t>
  </si>
  <si>
    <t>Club de París</t>
  </si>
  <si>
    <t>Socialistas</t>
  </si>
  <si>
    <t>Organismo</t>
  </si>
  <si>
    <t>Nota  :   Concertaciones del Gobierno Central y sus Garantías</t>
  </si>
  <si>
    <t>América Latina</t>
  </si>
  <si>
    <t>Américca Latina</t>
  </si>
  <si>
    <t>POR FUENTE  DE  FINANCIAMIENTO</t>
  </si>
  <si>
    <t>PROVEEDOR</t>
  </si>
  <si>
    <t>EMBRAER S.A.</t>
  </si>
  <si>
    <t>D. Leg. 631- Art. 1º</t>
  </si>
  <si>
    <t>Fiat Vehículos Ind. S.A.</t>
  </si>
  <si>
    <t>D. Leg. 631- Art. 2º</t>
  </si>
  <si>
    <t>D. Leg. 629</t>
  </si>
  <si>
    <t>D.LEG. 558</t>
  </si>
  <si>
    <t>TADIRAN de Israel</t>
  </si>
  <si>
    <t>us$</t>
  </si>
  <si>
    <t>D: Leg. 611</t>
  </si>
  <si>
    <t>Elsag de Italia</t>
  </si>
  <si>
    <t>kfW</t>
  </si>
  <si>
    <t>D.S. 108-2001-EF</t>
  </si>
  <si>
    <t>MAG</t>
  </si>
  <si>
    <t>D.S.  038-2001-EF</t>
  </si>
  <si>
    <t>D.S.  050-2001-EF</t>
  </si>
  <si>
    <t>D.U.  048-2001-EF</t>
  </si>
  <si>
    <t>D.S. 099-2001-EF</t>
  </si>
  <si>
    <t>D.S. 109-2001-EF</t>
  </si>
  <si>
    <t>D.S. 139-2001-EF</t>
  </si>
  <si>
    <t>D.S.144-2001-EF</t>
  </si>
  <si>
    <t>D.S.162-2001-EF</t>
  </si>
  <si>
    <t>D.S.171-2001-EF</t>
  </si>
  <si>
    <t>Prést. Programático de Reforma Social</t>
  </si>
  <si>
    <t>Prog.Multisect.de Inversión Pública 2001</t>
  </si>
  <si>
    <t>Proyecto Caminos Rurales II</t>
  </si>
  <si>
    <t>Prog.Titulación y Registro de Tierras-Seg Etapa</t>
  </si>
  <si>
    <t>Transporte</t>
  </si>
  <si>
    <t>MTCVC</t>
  </si>
  <si>
    <t>10A 6M</t>
  </si>
  <si>
    <t>20A 6M</t>
  </si>
  <si>
    <t>Imp. de Alimentos</t>
  </si>
  <si>
    <t>10A6M</t>
  </si>
  <si>
    <t>D.U.127-2001-EF</t>
  </si>
  <si>
    <t>BID 906-OC-PE</t>
  </si>
  <si>
    <t>BID 931-OC-PE</t>
  </si>
  <si>
    <t>BIRF 4068-PE</t>
  </si>
  <si>
    <t>BIRF 4076-PE</t>
  </si>
  <si>
    <t>BID Carta Ac. PPF 002-PE</t>
  </si>
  <si>
    <t>BID Carta Ac. 944 OC PE</t>
  </si>
  <si>
    <t>BID 956-OC-PE</t>
  </si>
  <si>
    <t>BID 985-OC-PE</t>
  </si>
  <si>
    <t>BID 966-OC-PE</t>
  </si>
  <si>
    <t>BIRF 4134-PE</t>
  </si>
  <si>
    <t>BIRF 4130-PE</t>
  </si>
  <si>
    <t>BID 1025-OC-PE</t>
  </si>
  <si>
    <t>BID 1024-OC-PE</t>
  </si>
  <si>
    <t>BID 1061-OC-PE</t>
  </si>
  <si>
    <t>BID 1058-OC-PE</t>
  </si>
  <si>
    <t>BIRF 4250-PE</t>
  </si>
  <si>
    <t>BIRF 4256-PE</t>
  </si>
  <si>
    <t>BID 1036-OC-PE</t>
  </si>
  <si>
    <t>BID 1050-OC-PE</t>
  </si>
  <si>
    <t>BID 1115-OC-PE</t>
  </si>
  <si>
    <t>BIRF 4384-PE</t>
  </si>
  <si>
    <t>BID 1128-OC-PE</t>
  </si>
  <si>
    <t>BID 1150-OC-PE</t>
  </si>
  <si>
    <t>BID 1137-OC-PE</t>
  </si>
  <si>
    <t>BID 1144-OC-PE</t>
  </si>
  <si>
    <t>BIRF 4497-PE</t>
  </si>
  <si>
    <t>BID 1195-OC-PE</t>
  </si>
  <si>
    <t>BID 1196-OC-PE</t>
  </si>
  <si>
    <t>BID 1235-OC-PE</t>
  </si>
  <si>
    <t>BID 1236-OC-PE</t>
  </si>
  <si>
    <t>BIRF 4519-PE</t>
  </si>
  <si>
    <t>BID 1233-OC-PE-D43</t>
  </si>
  <si>
    <t>BID 1237-OC-PE</t>
  </si>
  <si>
    <t>BID 1208-OC-PE</t>
  </si>
  <si>
    <t>BIRF 4536-PE</t>
  </si>
  <si>
    <t>BIRF 4257-PE</t>
  </si>
  <si>
    <t>BIRF 4615-PE</t>
  </si>
  <si>
    <t>BID 1321-OC-PE</t>
  </si>
  <si>
    <t>BIRF 4614-PE</t>
  </si>
  <si>
    <t>BID 1328-OC-PE</t>
  </si>
  <si>
    <t>BID 1340-OC-PE</t>
  </si>
  <si>
    <t>BID 1329-OC-EF</t>
  </si>
  <si>
    <t>Gob USA</t>
  </si>
  <si>
    <t xml:space="preserve"> 26A</t>
  </si>
  <si>
    <t>Bonos</t>
  </si>
  <si>
    <t>--</t>
  </si>
  <si>
    <t>EMAPA HVCA</t>
  </si>
  <si>
    <t>Py.E.Jaen S.I.Bagua</t>
  </si>
  <si>
    <t>EUR</t>
  </si>
  <si>
    <t>D.U. 021-2002</t>
  </si>
  <si>
    <t>D.S. 107-2002-EF</t>
  </si>
  <si>
    <t>BID 1412 OC-PE</t>
  </si>
  <si>
    <t>DGCP</t>
  </si>
  <si>
    <t>14A6M</t>
  </si>
  <si>
    <t xml:space="preserve">     hasta US$ 500 millones, como Endeudamiento Externo para Apoyo de la Balanza de Pagos.</t>
  </si>
  <si>
    <t xml:space="preserve">       i) Cuando la tasa LIBOR a 6 meses sea de hasta 5,0%, se aplicará un margen del 3.75%;</t>
  </si>
  <si>
    <t xml:space="preserve">      ii) Cuando la tasa LIBOR a 6 meses sea superior a 5,0%  y hasta 5.5%, se aplicará un margen del 3.5%;</t>
  </si>
  <si>
    <t xml:space="preserve">     iii) Cuando la tada LIBOR a 6 meses sea superior a 5.5% y hasta 6.0%, se aplicará un margen del 3.25%; y,</t>
  </si>
  <si>
    <t xml:space="preserve">     iv) Cuando la tasa LIBOR a 6 meses sea superior a 6.0%, se aplicará un margen del 3.0%.</t>
  </si>
  <si>
    <t xml:space="preserve"> D.S. 059-2002-EF</t>
  </si>
  <si>
    <t xml:space="preserve"> D.S. 079-2002-EF</t>
  </si>
  <si>
    <t xml:space="preserve"> D.S. 080-2002-EF</t>
  </si>
  <si>
    <t>D.S. 137-2002-EF</t>
  </si>
  <si>
    <t>9-Set-02</t>
  </si>
  <si>
    <t>4A6M</t>
  </si>
  <si>
    <t>20A6M</t>
  </si>
  <si>
    <t>D.S. 138-2002-EF</t>
  </si>
  <si>
    <t>10-Set-02</t>
  </si>
  <si>
    <t>PRONASAR</t>
  </si>
  <si>
    <t>D.S. 142-2002-EF</t>
  </si>
  <si>
    <t>20-Set-02</t>
  </si>
  <si>
    <t>Prog. Reducción de Deuda y su servicio</t>
  </si>
  <si>
    <t>D.S. 182-2002-EF</t>
  </si>
  <si>
    <t>D.S. 179-2002-EF</t>
  </si>
  <si>
    <t>D.S. 187-2002-EF</t>
  </si>
  <si>
    <t>UCPS-MEF</t>
  </si>
  <si>
    <t>MINCETUR</t>
  </si>
  <si>
    <t>16A6M</t>
  </si>
  <si>
    <r>
      <t>1/</t>
    </r>
    <r>
      <rPr>
        <sz val="10"/>
        <rFont val="Arial"/>
        <family val="2"/>
      </rPr>
      <t xml:space="preserve"> No se ejecutó.</t>
    </r>
  </si>
  <si>
    <r>
      <t>2/</t>
    </r>
    <r>
      <rPr>
        <sz val="10"/>
        <rFont val="Arial"/>
        <family val="2"/>
      </rPr>
      <t xml:space="preserve"> El D.S. 301-91-EF del 19-12-91 modifica el Artículo 1º del D. Leg. 628, a fin de sustituir en el financiamiento al Bco. do Brasil por la empresa EMBRAER</t>
    </r>
  </si>
  <si>
    <r>
      <t xml:space="preserve">Defensa Nacional  </t>
    </r>
    <r>
      <rPr>
        <b/>
        <sz val="10"/>
        <color indexed="10"/>
        <rFont val="Arial"/>
        <family val="2"/>
      </rPr>
      <t>1/</t>
    </r>
  </si>
  <si>
    <t xml:space="preserve">5A  </t>
  </si>
  <si>
    <t xml:space="preserve">BID </t>
  </si>
  <si>
    <t>Plan Financiero 1996</t>
  </si>
  <si>
    <t xml:space="preserve">20A </t>
  </si>
  <si>
    <t>BID 1421 OC-PE</t>
  </si>
  <si>
    <t>BIRF 7142-PE</t>
  </si>
  <si>
    <t>BIRF 4678-PE</t>
  </si>
  <si>
    <t>BIRF P398-0-PE</t>
  </si>
  <si>
    <t>BID 1442 OC-PE</t>
  </si>
  <si>
    <t>Electroperú</t>
  </si>
  <si>
    <t>-,-</t>
  </si>
  <si>
    <t>1A6M</t>
  </si>
  <si>
    <t xml:space="preserve">  3A6M</t>
  </si>
  <si>
    <t>3/</t>
  </si>
  <si>
    <t>Libor + 0.75%</t>
  </si>
  <si>
    <t>Libor + 1.5%</t>
  </si>
  <si>
    <r>
      <t xml:space="preserve">D.S. 182-94-EF  </t>
    </r>
    <r>
      <rPr>
        <b/>
        <sz val="10"/>
        <color indexed="10"/>
        <rFont val="Arial"/>
        <family val="2"/>
      </rPr>
      <t>4/</t>
    </r>
  </si>
  <si>
    <r>
      <t xml:space="preserve">D.S. 183-94-EF   </t>
    </r>
    <r>
      <rPr>
        <b/>
        <sz val="10"/>
        <color indexed="10"/>
        <rFont val="Arial"/>
        <family val="2"/>
      </rPr>
      <t>5/</t>
    </r>
  </si>
  <si>
    <r>
      <t xml:space="preserve">Eximbank  </t>
    </r>
    <r>
      <rPr>
        <b/>
        <sz val="10"/>
        <color indexed="10"/>
        <rFont val="Arial"/>
        <family val="2"/>
      </rPr>
      <t>6/</t>
    </r>
  </si>
  <si>
    <t>Proy. Desarrollo del Sector Social en el Area de Amazonía</t>
  </si>
  <si>
    <r>
      <t xml:space="preserve">JIBIC  </t>
    </r>
    <r>
      <rPr>
        <b/>
        <sz val="10"/>
        <color indexed="10"/>
        <rFont val="Arial"/>
        <family val="2"/>
      </rPr>
      <t>9/</t>
    </r>
  </si>
  <si>
    <r>
      <t xml:space="preserve">6M  </t>
    </r>
    <r>
      <rPr>
        <b/>
        <sz val="10"/>
        <color indexed="10"/>
        <rFont val="Arial"/>
        <family val="2"/>
      </rPr>
      <t>10/</t>
    </r>
  </si>
  <si>
    <r>
      <t xml:space="preserve">3/ </t>
    </r>
    <r>
      <rPr>
        <sz val="10"/>
        <rFont val="Arial"/>
        <family val="2"/>
      </rPr>
      <t>Devengará una tasa de interes para Recursos CAF:Libor+1,75%; Recursos Terceros:Tasa de Interés de los recursos más un margen de 1/10.</t>
    </r>
  </si>
  <si>
    <r>
      <t>5/</t>
    </r>
    <r>
      <rPr>
        <sz val="10"/>
        <rFont val="Arial"/>
        <family val="2"/>
      </rPr>
      <t xml:space="preserve"> El D.S. 164-95-EF precisa que la operación de crédito será acordada con la firma Mobeteck Representaciones Sucursal de Panamá.</t>
    </r>
  </si>
  <si>
    <r>
      <t xml:space="preserve">6/ </t>
    </r>
    <r>
      <rPr>
        <sz val="10"/>
        <rFont val="Arial"/>
        <family val="2"/>
      </rPr>
      <t>Interés =2,9%</t>
    </r>
  </si>
  <si>
    <r>
      <t xml:space="preserve">7/ </t>
    </r>
    <r>
      <rPr>
        <sz val="10"/>
        <rFont val="Arial"/>
        <family val="2"/>
      </rPr>
      <t>Incluye el monto del préstamo (US$ 11'977,000) y el 100% de las garantías (US$ 648,283) , conforme aprueba el D.S.</t>
    </r>
  </si>
  <si>
    <r>
      <t xml:space="preserve">8/ </t>
    </r>
    <r>
      <rPr>
        <sz val="10"/>
        <rFont val="Arial"/>
        <family val="2"/>
      </rPr>
      <t>Incluye el monto del préstamo (US$ 1'696,090) y el 85% de las garantías (US$ 72,934), conforme aprueba el D.S.</t>
    </r>
  </si>
  <si>
    <r>
      <t xml:space="preserve">9/ </t>
    </r>
    <r>
      <rPr>
        <sz val="10"/>
        <rFont val="Arial"/>
        <family val="2"/>
      </rPr>
      <t>Interés=2,2%</t>
    </r>
  </si>
  <si>
    <r>
      <t>21/</t>
    </r>
    <r>
      <rPr>
        <b/>
        <sz val="10"/>
        <rFont val="Arial"/>
        <family val="2"/>
      </rPr>
      <t xml:space="preserve"> </t>
    </r>
    <r>
      <rPr>
        <sz val="10"/>
        <rFont val="Arial"/>
        <family val="2"/>
      </rPr>
      <t xml:space="preserve">Esta garantía tendrá un plazo de 19 años y deberá ser reembolsada dentro de los 30 días hábiles posteriores a su ejecución, devengando una tasa de interés de Libor a 6 meses más un margen CAF para préstamos soberanos más 0,7% aplicable al monto ejecutado de la garantía. </t>
    </r>
  </si>
  <si>
    <t>21/</t>
  </si>
  <si>
    <r>
      <t>22/</t>
    </r>
    <r>
      <rPr>
        <b/>
        <sz val="10"/>
        <rFont val="Arial"/>
        <family val="2"/>
      </rPr>
      <t xml:space="preserve"> </t>
    </r>
    <r>
      <rPr>
        <sz val="10"/>
        <rFont val="Arial"/>
        <family val="2"/>
      </rPr>
      <t xml:space="preserve">Esta garantía tendrá un plazo de 20 años y deberá ser reembolsada dentro de los 30 días posteriores a su ejecución, devengando una tasa de interés de 0,25% sobre el monto desembolsado y una comisión de 0,25% anual sobre el saldo de garantía disponible. </t>
    </r>
  </si>
  <si>
    <r>
      <t>24/</t>
    </r>
    <r>
      <rPr>
        <sz val="10"/>
        <rFont val="Arial"/>
        <family val="2"/>
      </rPr>
      <t xml:space="preserve"> De conformidad con el D.S.Nº 160-2006-EF, la tasa de interés aplicable será de Libor a 6 m+ 1,4% anual. Para los primeros ocho años será de Libor a 6m + 0,6% anual.</t>
    </r>
  </si>
  <si>
    <r>
      <t>25/</t>
    </r>
    <r>
      <rPr>
        <sz val="10"/>
        <rFont val="Arial"/>
        <family val="2"/>
      </rPr>
      <t>Tramo I : € 7 835 502.58 2%</t>
    </r>
  </si>
  <si>
    <r>
      <t>28</t>
    </r>
    <r>
      <rPr>
        <b/>
        <sz val="10"/>
        <rFont val="Arial"/>
        <family val="2"/>
      </rPr>
      <t xml:space="preserve">/ </t>
    </r>
    <r>
      <rPr>
        <sz val="10"/>
        <rFont val="Arial"/>
        <family val="2"/>
      </rPr>
      <t>El plazo total del préstamo es de 11.5 años; será amortizado mediante dos (02) cuotas que vencerán el 15/10/2013 y 15/04/2018.</t>
    </r>
  </si>
  <si>
    <r>
      <t>29</t>
    </r>
    <r>
      <rPr>
        <b/>
        <sz val="10"/>
        <rFont val="Arial"/>
        <family val="2"/>
      </rPr>
      <t>/</t>
    </r>
    <r>
      <rPr>
        <sz val="10"/>
        <rFont val="Arial"/>
        <family val="2"/>
      </rPr>
      <t xml:space="preserve">  Se imputará al primer desembolso que se efectúe con cargo a los recursos del eventual préstamo que otorgue el BID para el mensionado Programa. Si el BID no otorga un préstamo para financiar el Programa, será amortizado de acuerdo a los plazos establecidos en el Convenio de Línea FAPEP.</t>
    </r>
  </si>
  <si>
    <r>
      <t>11/</t>
    </r>
    <r>
      <rPr>
        <b/>
        <sz val="10"/>
        <rFont val="Arial"/>
        <family val="2"/>
      </rPr>
      <t xml:space="preserve"> </t>
    </r>
    <r>
      <rPr>
        <sz val="10"/>
        <rFont val="Arial"/>
        <family val="2"/>
      </rPr>
      <t xml:space="preserve">Mediante el D.S. 021-2002-EF se autorizó la emisión Internacional de Bonos Soberanos hasta por US$ 1500 millones, de los cuales hasta US$ 1,000 millones son  para  operación de renegociación  de deuda pública externa mediante  canje de Bonos y </t>
    </r>
  </si>
  <si>
    <r>
      <t>12/</t>
    </r>
    <r>
      <rPr>
        <b/>
        <sz val="10"/>
        <rFont val="Arial"/>
        <family val="2"/>
      </rPr>
      <t xml:space="preserve"> </t>
    </r>
    <r>
      <rPr>
        <sz val="10"/>
        <rFont val="Arial"/>
        <family val="2"/>
      </rPr>
      <t>Más un  márgen de acuerdo con la sgte. escala:</t>
    </r>
  </si>
  <si>
    <r>
      <t xml:space="preserve">13/ </t>
    </r>
    <r>
      <rPr>
        <sz val="10"/>
        <rFont val="Arial"/>
        <family val="2"/>
      </rPr>
      <t>Tasa de interés anual, establecida por el BID.</t>
    </r>
  </si>
  <si>
    <r>
      <t xml:space="preserve">14/ </t>
    </r>
    <r>
      <rPr>
        <sz val="10"/>
        <rFont val="Arial"/>
        <family val="2"/>
      </rPr>
      <t>Más márgen fijo determinado por el BIRF, de acuerdo con su política de operaciones.</t>
    </r>
  </si>
  <si>
    <t>7A10A</t>
  </si>
  <si>
    <t>1A9M</t>
  </si>
  <si>
    <r>
      <t>4/</t>
    </r>
    <r>
      <rPr>
        <sz val="10"/>
        <color indexed="8"/>
        <rFont val="Arial"/>
        <family val="2"/>
      </rPr>
      <t xml:space="preserve"> Con el D.S. 141-96-EF se aprobó la modificación del Plazo de Utilización de la Operación  de endeudamiento Externo aprobada por D.S. N° 182-94-EF</t>
    </r>
  </si>
  <si>
    <t>D.S. 007-2003-EF</t>
  </si>
  <si>
    <t>D.S. 027-2003-EF</t>
  </si>
  <si>
    <t>D.S. 030-2003-EF</t>
  </si>
  <si>
    <t>D.S.  059-2003-EF</t>
  </si>
  <si>
    <t>D.S. 066-2003-EF</t>
  </si>
  <si>
    <t>D.S. 089-2003-EF</t>
  </si>
  <si>
    <t>D.S. 108-2003-EF</t>
  </si>
  <si>
    <t>D.S. 117-2003-EF</t>
  </si>
  <si>
    <t>D.S. 122-2003-EF</t>
  </si>
  <si>
    <t>D.S. 125-2003-EF</t>
  </si>
  <si>
    <t>D.S. 131-2003-EF</t>
  </si>
  <si>
    <t>D.S. 132-2003-EF</t>
  </si>
  <si>
    <t>09-set-03</t>
  </si>
  <si>
    <t>17-set-03</t>
  </si>
  <si>
    <t>Mº RR.EE.</t>
  </si>
  <si>
    <t>BID 1413-OC-PE</t>
  </si>
  <si>
    <t>PCM</t>
  </si>
  <si>
    <t>BID 1458-OC-PE</t>
  </si>
  <si>
    <t>CONGRESO</t>
  </si>
  <si>
    <t>15A6M</t>
  </si>
  <si>
    <t>BID 1461-OC-PE</t>
  </si>
  <si>
    <t>VIVIENDA</t>
  </si>
  <si>
    <t>MININTER</t>
  </si>
  <si>
    <t>MEF-MTC</t>
  </si>
  <si>
    <t>MED-FONCODES</t>
  </si>
  <si>
    <r>
      <t xml:space="preserve">LIB.6M+  </t>
    </r>
    <r>
      <rPr>
        <b/>
        <sz val="10"/>
        <color indexed="10"/>
        <rFont val="Arial"/>
        <family val="2"/>
      </rPr>
      <t>14/</t>
    </r>
  </si>
  <si>
    <t>D.S. 005-2003-EF</t>
  </si>
  <si>
    <t>17-en-03</t>
  </si>
  <si>
    <t>Inversiones</t>
  </si>
  <si>
    <t>MEM</t>
  </si>
  <si>
    <r>
      <t>10/</t>
    </r>
    <r>
      <rPr>
        <sz val="10"/>
        <rFont val="Arial"/>
        <family val="2"/>
      </rPr>
      <t xml:space="preserve"> La 1ra cuota vencerá a los 12 m de la fecha del Conocim. de embarque</t>
    </r>
  </si>
  <si>
    <t>D.S. 165-2003-EF</t>
  </si>
  <si>
    <t>D.S. 166-2003-EF</t>
  </si>
  <si>
    <t>D.S. 174-2003-EF</t>
  </si>
  <si>
    <t>D.S. 175-2003-EF</t>
  </si>
  <si>
    <t>D.S. 188-2003-EF</t>
  </si>
  <si>
    <t>D.S. 194-2003-EF</t>
  </si>
  <si>
    <t>PROTRANSPORTE</t>
  </si>
  <si>
    <t>R.M: Nº 224-2004-EF/75</t>
  </si>
  <si>
    <t>Varios</t>
  </si>
  <si>
    <t>Apoyo Balanza de Pagos</t>
  </si>
  <si>
    <t>R.M: Nº 492-2004-EF/75</t>
  </si>
  <si>
    <t xml:space="preserve">        17/</t>
  </si>
  <si>
    <t>D.S. Nº 082-2004-EF</t>
  </si>
  <si>
    <t>10 años</t>
  </si>
  <si>
    <t>20 años</t>
  </si>
  <si>
    <t>D.S. Nº 119-2004-EF</t>
  </si>
  <si>
    <t>AID</t>
  </si>
  <si>
    <t>"Adquisición de Trigo bajo el Programa PL 480"</t>
  </si>
  <si>
    <t>Social</t>
  </si>
  <si>
    <t>Unid.Espc. PL 480</t>
  </si>
  <si>
    <t>5 años</t>
  </si>
  <si>
    <t>25 años</t>
  </si>
  <si>
    <t>D.S.Nº 182-2004-EF</t>
  </si>
  <si>
    <t>MVCS</t>
  </si>
  <si>
    <t>2% y 3%</t>
  </si>
  <si>
    <t>D.S.Nº 206-2004-EF</t>
  </si>
  <si>
    <t>SEDACAJ</t>
  </si>
  <si>
    <t>"Proyecto de Agua Potable y Saneamiento de la ciudad de Cajamarca"</t>
  </si>
  <si>
    <t>D.S. Nº 037-04-EF</t>
  </si>
  <si>
    <t>D.S. Nº 044-04-EF</t>
  </si>
  <si>
    <t>D.S. Nº 113-2004-EF</t>
  </si>
  <si>
    <t>D.S. Nº 117-2004-EF</t>
  </si>
  <si>
    <t>D.S. Nº149-2004-EF</t>
  </si>
  <si>
    <t>D.S. Nº150-2004-EF</t>
  </si>
  <si>
    <t>D.S.Nº 168-2004-EF</t>
  </si>
  <si>
    <t>D.S.Nº 180-2004-EF</t>
  </si>
  <si>
    <t>D.S.Nº 181-2004-EF</t>
  </si>
  <si>
    <t>D.S.Nº 183-2004-EF</t>
  </si>
  <si>
    <t>D.S.Nº 196-2004-EF</t>
  </si>
  <si>
    <t>D.S.Nº 201-2004-EF</t>
  </si>
  <si>
    <t>D.S.Nº 203-2004-EF</t>
  </si>
  <si>
    <t>D.S.Nº 204-2004-EF</t>
  </si>
  <si>
    <t>D.S.Nº 205-2004-EF</t>
  </si>
  <si>
    <t>Programa de Capacitación Laboral para Jovenes</t>
  </si>
  <si>
    <t>"Programa de Infraestructura Económica y Desarrollo Social"</t>
  </si>
  <si>
    <t>Preparación del "Programa de Apoyo al Desarrollo del Sector Saneamiento"</t>
  </si>
  <si>
    <t>Mejoramiento de los servicios de justicia</t>
  </si>
  <si>
    <t>"Préstamo Programático de Reforma Social IV"</t>
  </si>
  <si>
    <t>"Reformas de Prog.de Superación de la Pobreza y Desarrollo de Capital Humano"</t>
  </si>
  <si>
    <t>"Proyecto Olmos, Etapa I -Obras de Trasvase"</t>
  </si>
  <si>
    <t>"Reordenamiento y Rehabilitación del Valle del Vilcanota"</t>
  </si>
  <si>
    <t>"Programa de Servicios de Apoyo para Acceder a los Mercados Rurales"</t>
  </si>
  <si>
    <t>Sedapal</t>
  </si>
  <si>
    <t>Mº Trabajo</t>
  </si>
  <si>
    <t>MEF-DGCP</t>
  </si>
  <si>
    <t>MEF-UCPS</t>
  </si>
  <si>
    <t>Gob.Reg.Lambay.</t>
  </si>
  <si>
    <t>Mº Agricultura</t>
  </si>
  <si>
    <t>CGR</t>
  </si>
  <si>
    <t>Economçia</t>
  </si>
  <si>
    <t>Lib.6 m+Marg BIRF</t>
  </si>
  <si>
    <t>Tasa FIDA</t>
  </si>
  <si>
    <t>Lib.6 m+2.9%</t>
  </si>
  <si>
    <t>5 a. 6 m.</t>
  </si>
  <si>
    <t>9 a. 6 m.</t>
  </si>
  <si>
    <t>4 a.6m.</t>
  </si>
  <si>
    <t>20 a, 6 m,</t>
  </si>
  <si>
    <t>2.5 años</t>
  </si>
  <si>
    <t>16/</t>
  </si>
  <si>
    <t>13 años</t>
  </si>
  <si>
    <t>2 años</t>
  </si>
  <si>
    <t>8 años</t>
  </si>
  <si>
    <t>6 años</t>
  </si>
  <si>
    <t>10 a. 6 m.</t>
  </si>
  <si>
    <t>15 a.6m.</t>
  </si>
  <si>
    <t>4 años</t>
  </si>
  <si>
    <t>16 años</t>
  </si>
  <si>
    <t>Imp.de Alimentos</t>
  </si>
  <si>
    <t>Sanemaiento</t>
  </si>
  <si>
    <t>Contraloría</t>
  </si>
  <si>
    <t>R.M: Nº  030 -2005-EF/75</t>
  </si>
  <si>
    <t>8,75%</t>
  </si>
  <si>
    <t>D.S. Nº 071-2005-EF</t>
  </si>
  <si>
    <t>D.S. Nº 142-2005-EF</t>
  </si>
  <si>
    <t>Programa de Investigación y Extensión Agricola Fase II</t>
  </si>
  <si>
    <t>INCAGRO</t>
  </si>
  <si>
    <t>PSI</t>
  </si>
  <si>
    <t>"Préstamo de ajuste Estructural Programático de Descentraliz. y Comp. II"</t>
  </si>
  <si>
    <t>MEF-DNEP</t>
  </si>
  <si>
    <t>5,2% 9/</t>
  </si>
  <si>
    <t>6,5 años</t>
  </si>
  <si>
    <t>D.S. Nº 161-2005-EF</t>
  </si>
  <si>
    <t>D.S. Nº 164-2005-EF</t>
  </si>
  <si>
    <t>D.S. Nº 165-2005-EF</t>
  </si>
  <si>
    <t>D.S. Nº 178-2005-EF</t>
  </si>
  <si>
    <t>D.S. Nº 179-2005-EF</t>
  </si>
  <si>
    <t>MAG-SENASA</t>
  </si>
  <si>
    <t>MEM/Prov.Dptal.</t>
  </si>
  <si>
    <t>Lib.3 m+Marg BID</t>
  </si>
  <si>
    <t>4a-6m</t>
  </si>
  <si>
    <t>1.5 años</t>
  </si>
  <si>
    <t>15 años</t>
  </si>
  <si>
    <t>17.5 años</t>
  </si>
  <si>
    <t>U$S</t>
  </si>
  <si>
    <t>14 a. 6 m.</t>
  </si>
  <si>
    <t>3 años</t>
  </si>
  <si>
    <t xml:space="preserve"> Apoyo Balanza de Pagos</t>
  </si>
  <si>
    <t xml:space="preserve"> Adquisición de Trigo</t>
  </si>
  <si>
    <t xml:space="preserve"> Programa Sectorial de Reforma Fiscal</t>
  </si>
  <si>
    <t xml:space="preserve">  Prést. Programático de Reforma Social II</t>
  </si>
  <si>
    <t>D.S. Nº 015-2007-EF</t>
  </si>
  <si>
    <t>D.S. Nº 018-2007-EF</t>
  </si>
  <si>
    <t>D.S. Nº 020-2007-EF</t>
  </si>
  <si>
    <t>D.S. Nº 035-2007-EF</t>
  </si>
  <si>
    <t>D.S. Nº 093-2007-EF</t>
  </si>
  <si>
    <t>D.S. Nº 103-2007-EF</t>
  </si>
  <si>
    <t>D.S. Nº 118-2007-EF</t>
  </si>
  <si>
    <t>D.S. Nº 156-2007-EF</t>
  </si>
  <si>
    <t>D.S. Nº 181-2007-EF</t>
  </si>
  <si>
    <t>D.S. Nº 217-2007-EF</t>
  </si>
  <si>
    <t>Tesoro Francés</t>
  </si>
  <si>
    <t>Bco. Bilbao Vizc.</t>
  </si>
  <si>
    <t>Programa de Reformas de Recursos Hídricos</t>
  </si>
  <si>
    <t>Programa de Reformas del Sector Saneamiento</t>
  </si>
  <si>
    <t>IRTP</t>
  </si>
  <si>
    <t>PROVIAS DESCENTRALIZADO</t>
  </si>
  <si>
    <t>UCPS-DNEP</t>
  </si>
  <si>
    <t>PROVIAS NACIONAL</t>
  </si>
  <si>
    <t>Producción</t>
  </si>
  <si>
    <t>IMARPE</t>
  </si>
  <si>
    <t>Ministerio de Justicia</t>
  </si>
  <si>
    <t>MEF/UCPS-DNEP</t>
  </si>
  <si>
    <t>RREE</t>
  </si>
  <si>
    <t>Ministerio RREE</t>
  </si>
  <si>
    <t>MEF/DNEP</t>
  </si>
  <si>
    <t>0,8 % anual</t>
  </si>
  <si>
    <t>Libor a 6 m+ 1%</t>
  </si>
  <si>
    <t>14 años</t>
  </si>
  <si>
    <t>6 meses</t>
  </si>
  <si>
    <t>4.5 años</t>
  </si>
  <si>
    <t>15.5 años</t>
  </si>
  <si>
    <t>10.5 años</t>
  </si>
  <si>
    <t>EUR.</t>
  </si>
  <si>
    <t>28/</t>
  </si>
  <si>
    <t>29/</t>
  </si>
  <si>
    <t>30/</t>
  </si>
  <si>
    <t xml:space="preserve">  Apoyo al Sector Habitacional</t>
  </si>
  <si>
    <t xml:space="preserve">  Programa de Modernización y Descentralización del Estado</t>
  </si>
  <si>
    <t xml:space="preserve">  Préstamo Programático de Reforma Social III</t>
  </si>
  <si>
    <t xml:space="preserve">  Programa de Reforma de Competitividad</t>
  </si>
  <si>
    <t xml:space="preserve">  Integración y Modernización de la SUNAT</t>
  </si>
  <si>
    <t xml:space="preserve">  Prog.Transp.Urbano Lima Metropol.Sub-Sistema Norte</t>
  </si>
  <si>
    <t>Rehb. Sist. Agua Potable y Alcant. de Lima y Callao- Parte C: Expanción Servicios</t>
  </si>
  <si>
    <t>"Prog de Fortalec. de la Institucionalidad Fiscal y Mejora del Clima de Negocios</t>
  </si>
  <si>
    <t>"Préstamo de Ajuste Estruct. Programático de Descentralización y competitividad II"</t>
  </si>
  <si>
    <t>"Proy. de Fortalec. de la Capacidad Instituc. en el Marco de la Descentraliz. Fiscal"</t>
  </si>
  <si>
    <t>22/</t>
  </si>
  <si>
    <t>D.S. Nº 014-2006-EF</t>
  </si>
  <si>
    <t>D.S. Nº 100-2006-EF</t>
  </si>
  <si>
    <t>D.S. Nº 101-2006-EF</t>
  </si>
  <si>
    <t>D.S. Nº 105-2006-EF</t>
  </si>
  <si>
    <t>D.S. Nº 113-2006-EF</t>
  </si>
  <si>
    <t>D.S. Nº 146-2006-EF</t>
  </si>
  <si>
    <t>D.S. Nº 151-2006-EF</t>
  </si>
  <si>
    <t>D.S. Nº 152-2006-EF</t>
  </si>
  <si>
    <t>D.S. Nº 157-2006-EF</t>
  </si>
  <si>
    <t>D.S. Nº 159-2006-EF</t>
  </si>
  <si>
    <t>D.S. Nº 161-2006-EF</t>
  </si>
  <si>
    <t>D.S. Nº 162-2006-EF</t>
  </si>
  <si>
    <t>D.S. Nº 185-2006-EF</t>
  </si>
  <si>
    <t>D.S. Nº 187-2006-EF</t>
  </si>
  <si>
    <t>D.S. Nº 190-2006-EF</t>
  </si>
  <si>
    <t>D.S. Nº 205-2006-EF</t>
  </si>
  <si>
    <t>Gob. USA</t>
  </si>
  <si>
    <t>Adquisición de Torta de Soya bajo el Programa Pl-480</t>
  </si>
  <si>
    <t>Programa Municipal de Atención a los Servicios Básicos</t>
  </si>
  <si>
    <t>Consolidación de los Derechos de Propiedad Inmueble</t>
  </si>
  <si>
    <t>Programa de Apoyo al Desarrollo del Sector Saneamiento</t>
  </si>
  <si>
    <t>Programa de Riego Zona Andina Sur IV</t>
  </si>
  <si>
    <t>Programa de Medidas de Rápido Impacto I</t>
  </si>
  <si>
    <t>Proyecto Subregional de Irrigación</t>
  </si>
  <si>
    <t>Programa de Mejora de la Calidad de la Gestión y del Gasto Público</t>
  </si>
  <si>
    <t>Programa de Transporte Rural Descentralizado</t>
  </si>
  <si>
    <t>Economia</t>
  </si>
  <si>
    <t>MIMDES</t>
  </si>
  <si>
    <t>Vivienda</t>
  </si>
  <si>
    <t>U.G-Proy. FONER</t>
  </si>
  <si>
    <t>INRENA</t>
  </si>
  <si>
    <t>U.Esp.PL-480</t>
  </si>
  <si>
    <t>MIMDES-Foncodes</t>
  </si>
  <si>
    <t>Ferr.Huanc.-Huanv.</t>
  </si>
  <si>
    <t>G.R. Cusco</t>
  </si>
  <si>
    <t>MVCS (UCP)-EPS</t>
  </si>
  <si>
    <t>PROVIAS DESCT.</t>
  </si>
  <si>
    <t>1,5 años</t>
  </si>
  <si>
    <t>7años</t>
  </si>
  <si>
    <t>18 años</t>
  </si>
  <si>
    <t>Lib.6 m+1,50%</t>
  </si>
  <si>
    <t>9 años</t>
  </si>
  <si>
    <t>10,5  años</t>
  </si>
  <si>
    <t>19 años</t>
  </si>
  <si>
    <t>11 años</t>
  </si>
  <si>
    <t>5,25%</t>
  </si>
  <si>
    <t>1,5%</t>
  </si>
  <si>
    <t>7 años</t>
  </si>
  <si>
    <t>5.5 años</t>
  </si>
  <si>
    <t>14.5 años</t>
  </si>
  <si>
    <t xml:space="preserve">   Si dicho monto ejecutado no es reembolsado a la CAF dentro del período antes mencionado, se convertirá  automáticamente en una operación de Endeud. Externo, que tendrá las siguientes condiciones financieras:</t>
  </si>
  <si>
    <t xml:space="preserve">   - Plazo de Reembolso: 10 pagos iguales y consecutivos, empezando el primero a los 6 meses  de la fecha de conversión automática</t>
  </si>
  <si>
    <t xml:space="preserve">   - Tasa de Interés: Libor a 6 meses más margen CAF para préstamos soberanos más 1,5%</t>
  </si>
  <si>
    <t xml:space="preserve">   - Comisión de Conversión: 1,5% Flat por la conversión del monto desembolsado de la garantía.</t>
  </si>
  <si>
    <t>23/</t>
  </si>
  <si>
    <t>24/</t>
  </si>
  <si>
    <t xml:space="preserve">   Si dicho monto ejecutado no es reembolsado al BID dentro del período antes mencionado, se convertirá  automáticamente en una operación de Endeud. Externo, que tendrá las siguientes condiciones financieras:</t>
  </si>
  <si>
    <t>D.S. Nº 067-2009-EF</t>
  </si>
  <si>
    <t>D.S. Nº 068-2009-EF</t>
  </si>
  <si>
    <t>D.S. Nº 069-2009-EF</t>
  </si>
  <si>
    <t>D.S. Nº 156-2009-EF</t>
  </si>
  <si>
    <t>D.S. Nº 196-2009-EF</t>
  </si>
  <si>
    <t>D.S. Nº 197-2009-EF</t>
  </si>
  <si>
    <t>D.S. Nº 208-2009-EF</t>
  </si>
  <si>
    <t>D.S. Nº 210-2009-EF</t>
  </si>
  <si>
    <t>D.S. Nº 231-2009-EF</t>
  </si>
  <si>
    <t>D.S. Nº 237-2009-EF</t>
  </si>
  <si>
    <t>D.S. Nº 259-2009-EF</t>
  </si>
  <si>
    <t>D.S. Nº 277-2009-EF</t>
  </si>
  <si>
    <t>D.S. Nº 279-2009-EF</t>
  </si>
  <si>
    <t>D.S. Nº 296-2009-EF</t>
  </si>
  <si>
    <t>D.S. Nº 297-2009-EF</t>
  </si>
  <si>
    <t>D.S. Nº 315-2009-EF</t>
  </si>
  <si>
    <t>D.S. Nº 317-2009-EF</t>
  </si>
  <si>
    <t>Programa mejoramiento y Ampliación de los Sist. De Agua potab., Alcantarillado y Trat. de Aguas Residuales de las principales ciudades del Dpto. Cajamarca - I Etapa</t>
  </si>
  <si>
    <t>Programa de Ampliación de la frontera Eléctrica III Etapa -PAFE III - Dpto. de Cajamarca</t>
  </si>
  <si>
    <t>Programa de Reformas de Recursos Hídricos II</t>
  </si>
  <si>
    <t>Préstamo Programático de Política Ambiental</t>
  </si>
  <si>
    <t>Préstamo Programático de Reformas en los Sectores Sociales II</t>
  </si>
  <si>
    <t>Programa de Competitividad Agraria I</t>
  </si>
  <si>
    <t>Programa para el desarrollo de una Matriz Energética Sostenible I</t>
  </si>
  <si>
    <t>Proyecto "Modernización de la Gestión de los Recursos Hídricos"</t>
  </si>
  <si>
    <t>Préstamo Programático Gestión Fiscal y Crecimiento Económico III</t>
  </si>
  <si>
    <t>Programa de Reformas del Sector Saneamiento III</t>
  </si>
  <si>
    <t>Programa de Reformas de los Sectores Sociales I</t>
  </si>
  <si>
    <t>Préstamo Programático de Política Ambiental II</t>
  </si>
  <si>
    <t>Apoyo a la Implementación del Programa de Reformas del Sector Saneamiento</t>
  </si>
  <si>
    <t xml:space="preserve">Energía </t>
  </si>
  <si>
    <t>G. Reg. Cajamarca</t>
  </si>
  <si>
    <t>G.Reg.Cajamarca</t>
  </si>
  <si>
    <t>DNEP</t>
  </si>
  <si>
    <t>MINSA</t>
  </si>
  <si>
    <t>Mº Agricultura -ANA</t>
  </si>
  <si>
    <t>UCPS</t>
  </si>
  <si>
    <t>Libor 3M</t>
  </si>
  <si>
    <t>Libor 3M+Margen BID</t>
  </si>
  <si>
    <t>14,5 años</t>
  </si>
  <si>
    <t>17,5 años</t>
  </si>
  <si>
    <t>3,5 años</t>
  </si>
  <si>
    <t>12.5 años</t>
  </si>
  <si>
    <t xml:space="preserve">    - 0,8% Obras del proyecto</t>
  </si>
  <si>
    <t xml:space="preserve">    - 0,8% Obras de Agua Potable</t>
  </si>
  <si>
    <t xml:space="preserve">    - 0,4% Obras de Alcantarillado</t>
  </si>
  <si>
    <t xml:space="preserve">    - 1,4% Obras del proyecto</t>
  </si>
  <si>
    <t xml:space="preserve">       i) Catorce cuotas, la primera de las cuales vencerá el 15.02.20 y la última el 15.08.26.</t>
  </si>
  <si>
    <t xml:space="preserve">      ii) Trece cuotas, la primera de las cuales vencerá el 15.08.27 y la última el 15.08.33.</t>
  </si>
  <si>
    <t xml:space="preserve">     iii) Una cuota con vencimiento 15.02.34.</t>
  </si>
  <si>
    <t xml:space="preserve">       i) 18 cuotas que vencerán el 15/03/2018, 15/09/2018, 15/03/2021, 15/09/2021, 15/03/2022,</t>
  </si>
  <si>
    <t xml:space="preserve">          15/09/2022, 15/03/2023, 15/09/2023, 15/03/2024, 15/09/2024, 15/03/2027, 15/09/2027,</t>
  </si>
  <si>
    <t xml:space="preserve">          15/03/2028, 15/09/2028, 15/03/2029, 15/09/2029, 15/03/2030 y 15/09/2030.</t>
  </si>
  <si>
    <t xml:space="preserve">        06 cuotas que vencerán el 15/03/2027, 15/09/2027, 15/03/2028, 15/09/2028, 15/03/2029 y 15/09/2029.</t>
  </si>
  <si>
    <t>38/</t>
  </si>
  <si>
    <t>39/</t>
  </si>
  <si>
    <t>40/</t>
  </si>
  <si>
    <t>41/</t>
  </si>
  <si>
    <t>42/</t>
  </si>
  <si>
    <t>43/</t>
  </si>
  <si>
    <t>44/</t>
  </si>
  <si>
    <t>45/</t>
  </si>
  <si>
    <t>46/</t>
  </si>
  <si>
    <t>D.S. Nº 141-2010-EF</t>
  </si>
  <si>
    <t>D.S. Nº 272-2010-EF</t>
  </si>
  <si>
    <t>D.S. Nº 273-2010-EF</t>
  </si>
  <si>
    <t>D.S. Nº 274-2010-EF</t>
  </si>
  <si>
    <t>D.S. Nº 275-2010-EF</t>
  </si>
  <si>
    <t>D.S. Nº 088-2010-EF</t>
  </si>
  <si>
    <t>D.S. Nº 234-2010-EF</t>
  </si>
  <si>
    <t>Proyecto de Gestión Integral de la Micro Cuenca Mariño de la Provincia de Abancay</t>
  </si>
  <si>
    <t>Programa de Segunda Generación de Reformas del Sector Saneamiento I</t>
  </si>
  <si>
    <t>G.R.Aprurimac</t>
  </si>
  <si>
    <t>DNEP-UCPS</t>
  </si>
  <si>
    <t>GR. San Martín</t>
  </si>
  <si>
    <t>D.S. Nº 125-2010-EF</t>
  </si>
  <si>
    <t>D.S. Nº 140-2010-EF</t>
  </si>
  <si>
    <t>D.S. Nº 142-2010-EF</t>
  </si>
  <si>
    <t>D.S. Nº 169-2010-EF</t>
  </si>
  <si>
    <t>D.S. Nº 180-2010-EF</t>
  </si>
  <si>
    <t>D.S. Nº 188-2010-EF</t>
  </si>
  <si>
    <t>D.S. Nº 206-2010-EF</t>
  </si>
  <si>
    <t>D.S. Nº 208-2010-EF</t>
  </si>
  <si>
    <t>D.S. Nº 226-2010-EF</t>
  </si>
  <si>
    <t>D.S. Nº 227-2010-EF</t>
  </si>
  <si>
    <t>D.S. Nº 235-2010-EF</t>
  </si>
  <si>
    <t>D.S. Nº 237-2010-EF</t>
  </si>
  <si>
    <t>D.S. Nº 238-2010-EF</t>
  </si>
  <si>
    <t>D.S. Nº 239-2010-EF</t>
  </si>
  <si>
    <t>D.S. Nº 240-2010-EF</t>
  </si>
  <si>
    <t>D.S. Nº 241-2010-EF</t>
  </si>
  <si>
    <t>D.S. Nº 242-2010-EF</t>
  </si>
  <si>
    <t>D.S. Nº 245-2010-EF</t>
  </si>
  <si>
    <t>D.S. Nº 253-2010-EF</t>
  </si>
  <si>
    <t>D.S. Nº 276-2010-EF</t>
  </si>
  <si>
    <t>Proyecto de Mejoramiento de Agua Potable y Alcantarillado en Áreas Marginales de Lima</t>
  </si>
  <si>
    <t>Proyecto "Facilidad Sectorial para el Apoyo al Programa para la Mejora de la Productividad y Competitividad"</t>
  </si>
  <si>
    <t>Programa para la Mejora de la Productividad y Competitividad</t>
  </si>
  <si>
    <t>Préstamo Programático de Política Ambiental III</t>
  </si>
  <si>
    <t>Préstamo Programático Gestión Fiscal y Crecimiento Económico IV</t>
  </si>
  <si>
    <t>Programa de Reducción de Vulnerabilidad de Estado ante Desastres I</t>
  </si>
  <si>
    <t>Programa para el Desarrollo de una Nueva Matriz Energética Sostenible II</t>
  </si>
  <si>
    <t>Programa de Reformas de Recursos Hídricos III</t>
  </si>
  <si>
    <t>Proyecto Corredor Vial Interoceanico Perú-Brasil (IIRSA Sur)</t>
  </si>
  <si>
    <t>Modernización del Sistema de Administración Financiera Pública para Mejorar la Programación, Ejecución y Rendición de Cuentas de los Recurso Públicos</t>
  </si>
  <si>
    <t>Cooperación Técnica Reembolsable  para financiar el proyecto "Apoyo al Programa de Reformas de los Sectores Sociales"</t>
  </si>
  <si>
    <t>Programa de Reformas de los Sectores Sociales II</t>
  </si>
  <si>
    <t>Programa de Apoyo a la Agenda del Cambio Climático</t>
  </si>
  <si>
    <t>Préstamo programatico de Reforma Social III</t>
  </si>
  <si>
    <t>Programa Nacional de Agua y Saneamiento Rural</t>
  </si>
  <si>
    <t>Proyecto Mejoramiento de los Servicios de justicia, 2da. Etapa</t>
  </si>
  <si>
    <t>Programa Subsectorial de Irrigación- Sierra</t>
  </si>
  <si>
    <t>Concesión del Primer Componente "Obras Mayores de Afianzamiento Hídrico y de Infraestructura para Irrigación de las Pampas de Siguas" - Proyecto Majes Siguas II Etapa</t>
  </si>
  <si>
    <t>AGRO RURAL</t>
  </si>
  <si>
    <t>GR. Arequipa</t>
  </si>
  <si>
    <t>Libor 6 meses+2.4%</t>
  </si>
  <si>
    <t>Libor 3M+ Margen BID</t>
  </si>
  <si>
    <t>21,5 años</t>
  </si>
  <si>
    <t>Libor 6 m+Margen BIRF</t>
  </si>
  <si>
    <t>12 años</t>
  </si>
  <si>
    <t>19.5 años</t>
  </si>
  <si>
    <t>21.5 años</t>
  </si>
  <si>
    <t>Libor 6m+ 2.4%</t>
  </si>
  <si>
    <t xml:space="preserve">    - 1,4% Obras del proyecto.</t>
  </si>
  <si>
    <t>47/</t>
  </si>
  <si>
    <t>3,29%</t>
  </si>
  <si>
    <t>48/</t>
  </si>
  <si>
    <t>49/</t>
  </si>
  <si>
    <t>50/</t>
  </si>
  <si>
    <t>51/</t>
  </si>
  <si>
    <t>53/</t>
  </si>
  <si>
    <t>54/</t>
  </si>
  <si>
    <t>55/</t>
  </si>
  <si>
    <t>56/</t>
  </si>
  <si>
    <t>D.S. Nº 100-2011-EF</t>
  </si>
  <si>
    <t>D.S. Nº 102-2011-EF</t>
  </si>
  <si>
    <t>D.S. Nº 103-2011-EF</t>
  </si>
  <si>
    <t>D.S. Nº 116-2011-EF</t>
  </si>
  <si>
    <t>D.S. Nº 133-2011-EF</t>
  </si>
  <si>
    <t>D.S. Nº 167-2011-EF</t>
  </si>
  <si>
    <t>D.S. Nº 171-2011-EF</t>
  </si>
  <si>
    <t>D.S. Nº 235-2011-EF</t>
  </si>
  <si>
    <t>D.S. Nº 236-2011-EF</t>
  </si>
  <si>
    <t>D.S. Nº 248-2011-EF</t>
  </si>
  <si>
    <t>Programa de Mejoramiento de la Electrificación Rural Mediante la Aplicación de Fondos Concursables - FONER II</t>
  </si>
  <si>
    <t>Programa de Competitividad Agraria II</t>
  </si>
  <si>
    <t>Programa para el Desarrollo de una Nueva Matriz Energética Sostenible III</t>
  </si>
  <si>
    <t>Programa de Reducción de Vulnerabilidad del Estado ante Desastres</t>
  </si>
  <si>
    <t>Programa de Apoyo a la Agenda del Cambio Climático II</t>
  </si>
  <si>
    <t>Programa de Segunda Generación de Reformas del Sector saneamiento II</t>
  </si>
  <si>
    <t>Primera Fase del Programa "Modernización del Sistema de Administración de Justicia para la Mejora de los Servicos Brindados a la Población Peruana (PMSAJ) - Primera Etapa"</t>
  </si>
  <si>
    <t>MEM (DGER)</t>
  </si>
  <si>
    <t>DGETP-UCPS</t>
  </si>
  <si>
    <t>MEF/UCPS-DGPP</t>
  </si>
  <si>
    <t>MTC-AATE</t>
  </si>
  <si>
    <t>DGETP/UCPS</t>
  </si>
  <si>
    <t>MINJUSDH - Poder Judicial</t>
  </si>
  <si>
    <t>Libor 6 m+Margen Variable BIRF</t>
  </si>
  <si>
    <t>17 años</t>
  </si>
  <si>
    <t>1 año</t>
  </si>
  <si>
    <t>19,5 años</t>
  </si>
  <si>
    <t>D.S. Nº 160-2005-EF</t>
  </si>
  <si>
    <t>Bonoistas</t>
  </si>
  <si>
    <t>Emisión Externa y/o interna de Bonos</t>
  </si>
  <si>
    <t>D.S. Nº 141-2012-EF</t>
  </si>
  <si>
    <t>D.S. Nº 143-2012-EF</t>
  </si>
  <si>
    <t>D.S. Nº 149-2012-EF</t>
  </si>
  <si>
    <t>D.S. Nº 156-2012-EF</t>
  </si>
  <si>
    <t>D.S. Nº 157-2012-EF</t>
  </si>
  <si>
    <t>Programa "Mejoramiento de la Educación Inicial en Ayacucho, Huancavelica y Huánuco"</t>
  </si>
  <si>
    <t>Proyecto “Esquema Cajamarquilla, Nievería y Cerro Camote - Ampliación de los Sistema de Agua Potable y Alcantarillado de los Sectores 129, 130, 131, 132, 133, 134 y 135 – Distrito de Lurigancho y San Antonio de Huarochirí”</t>
  </si>
  <si>
    <t>MINAM</t>
  </si>
  <si>
    <t>MEF/UCPS-DGPI</t>
  </si>
  <si>
    <t>PCM/UCPCT</t>
  </si>
  <si>
    <t>D.S. Nº 210-2012-EF</t>
  </si>
  <si>
    <t>D.S. Nº 231-2012-EF</t>
  </si>
  <si>
    <t>D.S. Nº 239-2012-EF</t>
  </si>
  <si>
    <t>Programa de Reformas de los Sectores Sociales III</t>
  </si>
  <si>
    <t>Programa de Desarrollo Forestal Sostenible, Inclusivo y Competitivo en la Amazonía Peruana</t>
  </si>
  <si>
    <t>Proyecto de Rehabilitación y Mejoramiento de la carretera Lima-Canta-laViuda-Unish</t>
  </si>
  <si>
    <t>SERFOR (MINAG)</t>
  </si>
  <si>
    <t>Provias Nacional</t>
  </si>
  <si>
    <t>Libor  6m+1.35%</t>
  </si>
  <si>
    <t>D.S. Nº 248-2012-EF</t>
  </si>
  <si>
    <t>D.S. Nº 249-2012-EF</t>
  </si>
  <si>
    <t>D.S. Nº 262-2012-EF</t>
  </si>
  <si>
    <t>D.S. Nº 283-2012-EF</t>
  </si>
  <si>
    <t>D.S. Nº 285-2012-EF</t>
  </si>
  <si>
    <t>Programa para la Mejora de la Productividad y la Competitividad II</t>
  </si>
  <si>
    <t>Programa para el Desarrollo de una Nueva Matriz Energética Sostenivle IV</t>
  </si>
  <si>
    <t>Proyecto Mejoramiento de la Calidad de Educación Superior</t>
  </si>
  <si>
    <t>Asistencia Técnica para el Apoyo al Programa de Gestión de Resultados para la Inclusión Social</t>
  </si>
  <si>
    <t>AGRORURAL</t>
  </si>
  <si>
    <t>UCPS MEF</t>
  </si>
  <si>
    <t>Libor 6M+ Margen BIRF</t>
  </si>
  <si>
    <t>D.S. Nº 044-2012-EF</t>
  </si>
  <si>
    <t>D.S. Nº 051-2012-EF</t>
  </si>
  <si>
    <t>D.S. Nº 158-2012-EF</t>
  </si>
  <si>
    <t>D.S. Nº 199-2012-EF</t>
  </si>
  <si>
    <t>D.S. Nº 240-2012-EF</t>
  </si>
  <si>
    <t>D.S. Nº 245-2012-EF</t>
  </si>
  <si>
    <t>D.S. Nº 247-2012-EF</t>
  </si>
  <si>
    <t>D.S. Nº 260-2012-EF</t>
  </si>
  <si>
    <t>D.S. Nº 284-2012-EF</t>
  </si>
  <si>
    <t>D.S. Nº 288-2012-EF</t>
  </si>
  <si>
    <t>D.S. Nº 308-2012-EF</t>
  </si>
  <si>
    <t>Programa de Agua Potable y Saneamiento para la Amazonía Rural</t>
  </si>
  <si>
    <t>Programa de Pequeña y Mediana Infraestructura de Riego en la Sierra del Perú</t>
  </si>
  <si>
    <t>Programa de Asistencia para Infraestructura de Renovación Energética</t>
  </si>
  <si>
    <t>Proyecto "Optimización de Sistemas de Agua Potable y Alcantarillado, Sectorización, Rehabilitación de Redes y Actualización de Catastro - Área de Influencia Planta Huachipa - Área de Drenaje Oquendo, Sinchi Roca, Puente Piedra y Sectores 84, 83, 85 y 212 - Lima"</t>
  </si>
  <si>
    <t>Programa de Medidas de Rápido Impacto II</t>
  </si>
  <si>
    <t>Programa de Segunda Generación de Reformas del Sector Saneamiento</t>
  </si>
  <si>
    <t>Programa de Energías Renovables y Eficiencia Energética</t>
  </si>
  <si>
    <t>Programa "Crédito Rural - COFIDE III"</t>
  </si>
  <si>
    <t>EPS PMR II</t>
  </si>
  <si>
    <t>G.R. Amazonas</t>
  </si>
  <si>
    <t>Fija</t>
  </si>
  <si>
    <t>57/</t>
  </si>
  <si>
    <t>58/</t>
  </si>
  <si>
    <t>61/</t>
  </si>
  <si>
    <t>62/</t>
  </si>
  <si>
    <t>63/</t>
  </si>
  <si>
    <t>64/</t>
  </si>
  <si>
    <t>65/</t>
  </si>
  <si>
    <t xml:space="preserve">        Tramo II: EUR 4 064 519.06  2%</t>
  </si>
  <si>
    <t xml:space="preserve">        Tramo III: EUR 3 279 464.28  3%</t>
  </si>
  <si>
    <t>66/</t>
  </si>
  <si>
    <t xml:space="preserve">        Tramo II y III: 20 años</t>
  </si>
  <si>
    <t>67/</t>
  </si>
  <si>
    <t>68/</t>
  </si>
  <si>
    <t>69/</t>
  </si>
  <si>
    <t>70/</t>
  </si>
  <si>
    <t>MINEDU</t>
  </si>
  <si>
    <t>SINEACE/MINEDU</t>
  </si>
  <si>
    <t>Contratación Garantía  de Crédito Parcial con el BID para asegurar el pago anual de obras que se deriven del Contrato de Concesión de los tramos viales del Eje Multimodal del Amazonas Norte.</t>
  </si>
  <si>
    <t>BID 1441-OC-PE</t>
  </si>
  <si>
    <t>CFA-2635</t>
  </si>
  <si>
    <t>BID 1449-OC-PE/PPF</t>
  </si>
  <si>
    <t>CFA-2749</t>
  </si>
  <si>
    <t>BIRF 7177-O PE</t>
  </si>
  <si>
    <t>BID 1437-OC-PE</t>
  </si>
  <si>
    <t>BIRF 7176-O PE</t>
  </si>
  <si>
    <t>CFA-2905</t>
  </si>
  <si>
    <t>CFA-2761</t>
  </si>
  <si>
    <t>BIRF 7200-O PE</t>
  </si>
  <si>
    <t>BID 1503-OC-PE</t>
  </si>
  <si>
    <t>BIRF 7203-O PE</t>
  </si>
  <si>
    <t>BID 1482-OC-PE</t>
  </si>
  <si>
    <t>BID 1501-OC-PE</t>
  </si>
  <si>
    <t>BIRF 7209-O PE</t>
  </si>
  <si>
    <t>BIRF 7160-O PE</t>
  </si>
  <si>
    <t>BID 1534-OC-PE</t>
  </si>
  <si>
    <t>CFA-3014-15-16</t>
  </si>
  <si>
    <t>FIDA 602-PE</t>
  </si>
  <si>
    <t>BID 1539-OC-PE/PPF</t>
  </si>
  <si>
    <t>BIRF 7219-O PE</t>
  </si>
  <si>
    <t>CFA-3088</t>
  </si>
  <si>
    <t>BIRF 7267-O PE</t>
  </si>
  <si>
    <t>BIRF 7255-O PE</t>
  </si>
  <si>
    <t>BIRF 7266-O PE</t>
  </si>
  <si>
    <t>BIRF 7254-O PE</t>
  </si>
  <si>
    <t>BID 1600-OC-PE</t>
  </si>
  <si>
    <t>CAF CFA-3241</t>
  </si>
  <si>
    <t>BIRF 7257-O PE</t>
  </si>
  <si>
    <t>BID 1586-OC-PE</t>
  </si>
  <si>
    <t>BID 1601-OC-PE</t>
  </si>
  <si>
    <t>BID 1591-OC-PE</t>
  </si>
  <si>
    <t>BIRF 7285-O PE</t>
  </si>
  <si>
    <t>BIRF 7308-O PE</t>
  </si>
  <si>
    <t>BID 1647-OC-PE</t>
  </si>
  <si>
    <t>BIRF 7345-O PE</t>
  </si>
  <si>
    <t>BID 1699-OC-PE</t>
  </si>
  <si>
    <t>BID 1696-OC-PE</t>
  </si>
  <si>
    <t>BIRF 7322-O PE</t>
  </si>
  <si>
    <t>BID 1657-OC-PE</t>
  </si>
  <si>
    <t>Contratación Garantía  de Riesgo Parcial con la CAF para el cumplimento de la Garantía Soberana otorgada en el marco del Contrato de Concesión del Proyecto Olmos</t>
  </si>
  <si>
    <t>BIRF 7366-O PE</t>
  </si>
  <si>
    <t>BID 1663-OC-PE</t>
  </si>
  <si>
    <t>CFA-3525</t>
  </si>
  <si>
    <t>BIRF 7368-O PE</t>
  </si>
  <si>
    <t>CFA-3572</t>
  </si>
  <si>
    <t>BID 1805-OC-PE</t>
  </si>
  <si>
    <t>BID 1810-OC-PE</t>
  </si>
  <si>
    <t>CFA-3804</t>
  </si>
  <si>
    <t>BIRF 7423-O PE</t>
  </si>
  <si>
    <t>BIRF 7419-O PE</t>
  </si>
  <si>
    <t>BID 1827-OC-PE</t>
  </si>
  <si>
    <t>BID 1899-OC-PE/PPF</t>
  </si>
  <si>
    <t>BID 1878-OC-PE</t>
  </si>
  <si>
    <t>BID 1836-OC-PE</t>
  </si>
  <si>
    <t>BIRF 7443-O PE</t>
  </si>
  <si>
    <t>BIRF 7455-O PE</t>
  </si>
  <si>
    <t>BID 1920-OC-PE</t>
  </si>
  <si>
    <t>BID 1932-OC-PE</t>
  </si>
  <si>
    <t>BID 1915-OC-PE</t>
  </si>
  <si>
    <t>BIRF 7588-O PE</t>
  </si>
  <si>
    <t>FIDA 744-PE</t>
  </si>
  <si>
    <t>BID 2049-OC-PE</t>
  </si>
  <si>
    <t>BID 2045-OC-PE</t>
  </si>
  <si>
    <t>CFA-05129</t>
  </si>
  <si>
    <t>BID 2157-OC-PE</t>
  </si>
  <si>
    <t>BIRF 7674-O PE</t>
  </si>
  <si>
    <t>BIRF 7668-O PE</t>
  </si>
  <si>
    <t>BID 2160-OC-PE</t>
  </si>
  <si>
    <t>BID 2092-OC-PE</t>
  </si>
  <si>
    <t>BIRF 7643-O PE</t>
  </si>
  <si>
    <t>BID 2118-OC-PE</t>
  </si>
  <si>
    <t>BID 2166-OC-PE</t>
  </si>
  <si>
    <t>BIRF 7701-O PE</t>
  </si>
  <si>
    <t>BIRF 7799-O PE</t>
  </si>
  <si>
    <t>BID 2218-OC-PE</t>
  </si>
  <si>
    <t>BID 2234-OC-PE</t>
  </si>
  <si>
    <t>BIRF 7810-O PE</t>
  </si>
  <si>
    <t>BID 2269-OC-PE</t>
  </si>
  <si>
    <t>CFA-6616</t>
  </si>
  <si>
    <t>BID 2303-OC-PE</t>
  </si>
  <si>
    <t>FIDA 799-PE</t>
  </si>
  <si>
    <t>BID 2325-OC-PE</t>
  </si>
  <si>
    <t>BIRF 7950-O PE</t>
  </si>
  <si>
    <t>BIRF 7954-O PE</t>
  </si>
  <si>
    <t>BID 2413-OC-PE</t>
  </si>
  <si>
    <t>BID 2417-OC-PE</t>
  </si>
  <si>
    <t>BID 2449-OC-PE</t>
  </si>
  <si>
    <t>BID 2455-OC-PE</t>
  </si>
  <si>
    <t>CFA 6923</t>
  </si>
  <si>
    <t>BID 2445-OC-PE</t>
  </si>
  <si>
    <t>BID 2374-OC-PE</t>
  </si>
  <si>
    <t>BID 2446-OC-PE</t>
  </si>
  <si>
    <t>BID 2456-OC-PE</t>
  </si>
  <si>
    <t>BIRF 7977-O PE</t>
  </si>
  <si>
    <t>BIRF 7978-O PE</t>
  </si>
  <si>
    <t>BIRF 7969-O PE</t>
  </si>
  <si>
    <t>BIRF 7878-O PE</t>
  </si>
  <si>
    <t>CFA7705</t>
  </si>
  <si>
    <t>BIRF 8034-O PE</t>
  </si>
  <si>
    <t>BID 2531-OC-PE</t>
  </si>
  <si>
    <t>BIRF 7961-O PE</t>
  </si>
  <si>
    <t>CFA 7454</t>
  </si>
  <si>
    <t>BIRF 8025-O PE</t>
  </si>
  <si>
    <t>BID 2544-OC-PE</t>
  </si>
  <si>
    <t>BID 2554-OC-PE</t>
  </si>
  <si>
    <t>BID 2625-OC-PE</t>
  </si>
  <si>
    <t>BID 2604-OC-PE</t>
  </si>
  <si>
    <t>BID 2534-OC-PE</t>
  </si>
  <si>
    <t>BID 2661-OC-PE</t>
  </si>
  <si>
    <t>BID 2759-OC-PE</t>
  </si>
  <si>
    <t>BID 2645-OC-PE</t>
  </si>
  <si>
    <t>BID 2703-OC-PE</t>
  </si>
  <si>
    <t>BID 2693-OC-PE</t>
  </si>
  <si>
    <t>BID 2783-OC-PE</t>
  </si>
  <si>
    <t>BID 2769-OC-PE</t>
  </si>
  <si>
    <t>BID 2849-OC-PE</t>
  </si>
  <si>
    <t>BID 2847-OC-PE</t>
  </si>
  <si>
    <t>BIRF 8212-O PE</t>
  </si>
  <si>
    <t>FIDA 884-PE</t>
  </si>
  <si>
    <t>BIRF 8222-O PE</t>
  </si>
  <si>
    <r>
      <t>34</t>
    </r>
    <r>
      <rPr>
        <b/>
        <sz val="10"/>
        <rFont val="Arial"/>
        <family val="2"/>
      </rPr>
      <t xml:space="preserve">/ </t>
    </r>
    <r>
      <rPr>
        <sz val="10"/>
        <rFont val="Arial"/>
        <family val="2"/>
      </rPr>
      <t>El plazo total del préstamo es de 21.5 años; será amortizado mediante ocho (08) cuotas que vencerán el 15/03/2022, 15/03/2022, 15/03/2023, 15/09/2023, 15/03/2028, 15/09/2028, 15/03/2029 y 15/09/2029.</t>
    </r>
  </si>
  <si>
    <r>
      <t>35</t>
    </r>
    <r>
      <rPr>
        <b/>
        <sz val="10"/>
        <rFont val="Arial"/>
        <family val="2"/>
      </rPr>
      <t>/</t>
    </r>
    <r>
      <rPr>
        <sz val="10"/>
        <rFont val="Arial"/>
        <family val="2"/>
      </rPr>
      <t xml:space="preserve"> El período de gracia estará en función del</t>
    </r>
    <r>
      <rPr>
        <b/>
        <sz val="10"/>
        <rFont val="Arial"/>
        <family val="2"/>
      </rPr>
      <t xml:space="preserve"> </t>
    </r>
    <r>
      <rPr>
        <sz val="10"/>
        <rFont val="Arial"/>
        <family val="2"/>
      </rPr>
      <t>pago de la primera cuota de amortización, la cual será a los 66 meses computados a partir de la fecha de emtrada en vigor  del Contrato de Préstamo. La última cuota será el 15.09.25.</t>
    </r>
  </si>
  <si>
    <r>
      <t>36</t>
    </r>
    <r>
      <rPr>
        <b/>
        <sz val="10"/>
        <rFont val="Arial"/>
        <family val="2"/>
      </rPr>
      <t xml:space="preserve">/ </t>
    </r>
    <r>
      <rPr>
        <sz val="10"/>
        <rFont val="Arial"/>
        <family val="2"/>
      </rPr>
      <t>La Tasa de interés es de Libor a 6 meses más un margegen de 1,9% anual. Para los primeros ocho (08) achos ser aplicará Libor a 6 meses más un margen de 1,35% anual</t>
    </r>
  </si>
  <si>
    <r>
      <t>37</t>
    </r>
    <r>
      <rPr>
        <b/>
        <sz val="10"/>
        <rFont val="Arial"/>
        <family val="2"/>
      </rPr>
      <t xml:space="preserve">/ </t>
    </r>
    <r>
      <rPr>
        <sz val="10"/>
        <rFont val="Arial"/>
        <family val="2"/>
      </rPr>
      <t>Tasa de interés fija anual a ser determinada por el KfW en la fecha de la firma del Contrato.</t>
    </r>
  </si>
  <si>
    <r>
      <rPr>
        <sz val="10"/>
        <color indexed="10"/>
        <rFont val="Arial"/>
        <family val="2"/>
      </rPr>
      <t>38/</t>
    </r>
    <r>
      <rPr>
        <b/>
        <sz val="10"/>
        <rFont val="Arial"/>
        <family val="2"/>
      </rPr>
      <t xml:space="preserve"> </t>
    </r>
    <r>
      <rPr>
        <sz val="10"/>
        <rFont val="Arial"/>
        <family val="2"/>
      </rPr>
      <t>El préstamo devengará la siguiente tasa de interés:</t>
    </r>
  </si>
  <si>
    <r>
      <rPr>
        <sz val="10"/>
        <color indexed="10"/>
        <rFont val="Arial"/>
        <family val="2"/>
      </rPr>
      <t>39/</t>
    </r>
    <r>
      <rPr>
        <b/>
        <sz val="10"/>
        <rFont val="Arial"/>
        <family val="2"/>
      </rPr>
      <t xml:space="preserve"> </t>
    </r>
    <r>
      <rPr>
        <sz val="10"/>
        <rFont val="Arial"/>
        <family val="2"/>
      </rPr>
      <t>El préstamo devengará la siguiente tasa de interés:</t>
    </r>
  </si>
  <si>
    <r>
      <rPr>
        <b/>
        <sz val="10"/>
        <color indexed="10"/>
        <rFont val="Arial"/>
        <family val="2"/>
      </rPr>
      <t>40</t>
    </r>
    <r>
      <rPr>
        <b/>
        <sz val="10"/>
        <rFont val="Arial"/>
        <family val="2"/>
      </rPr>
      <t xml:space="preserve">/ </t>
    </r>
    <r>
      <rPr>
        <sz val="10"/>
        <rFont val="Arial"/>
        <family val="2"/>
      </rPr>
      <t>El plazo total del préstamo es de 21.5 años; será amortizado mediante ocho (08) cuotas que vencerán el 15/09/2022, 15/03/2023, 15/09/2023, 15/03/2028, 15/09/2028, 15/03/2029, 15/09/2029 y 15/03/2030.</t>
    </r>
  </si>
  <si>
    <r>
      <rPr>
        <b/>
        <sz val="10"/>
        <color indexed="10"/>
        <rFont val="Arial"/>
        <family val="2"/>
      </rPr>
      <t>41</t>
    </r>
    <r>
      <rPr>
        <b/>
        <sz val="10"/>
        <rFont val="Arial"/>
        <family val="2"/>
      </rPr>
      <t xml:space="preserve">/ </t>
    </r>
    <r>
      <rPr>
        <sz val="10"/>
        <rFont val="Arial"/>
        <family val="2"/>
      </rPr>
      <t>El plazo total del préstamo es de 21.5 años; será amortizado mediante ocho (08) cuotas que vencerán el 01/04/2022, 01/10/2022, 01/04/2028, 01/10/2028, 01/04/2029, 01/10/2029, 01/04/2030 y 01/10/2030.</t>
    </r>
  </si>
  <si>
    <r>
      <rPr>
        <b/>
        <sz val="10"/>
        <color indexed="10"/>
        <rFont val="Arial"/>
        <family val="2"/>
      </rPr>
      <t>42</t>
    </r>
    <r>
      <rPr>
        <b/>
        <sz val="10"/>
        <rFont val="Arial"/>
        <family val="2"/>
      </rPr>
      <t xml:space="preserve">/ </t>
    </r>
    <r>
      <rPr>
        <sz val="10"/>
        <rFont val="Arial"/>
        <family val="2"/>
      </rPr>
      <t>El préstamo devengará la siguiente tasa de interés:</t>
    </r>
  </si>
  <si>
    <r>
      <rPr>
        <b/>
        <sz val="10"/>
        <color indexed="10"/>
        <rFont val="Arial"/>
        <family val="2"/>
      </rPr>
      <t>43</t>
    </r>
    <r>
      <rPr>
        <b/>
        <sz val="10"/>
        <rFont val="Arial"/>
        <family val="2"/>
      </rPr>
      <t xml:space="preserve">/ </t>
    </r>
    <r>
      <rPr>
        <sz val="10"/>
        <rFont val="Arial"/>
        <family val="2"/>
      </rPr>
      <t>El plazo total del préstamo es de 25 años; será amortizado de la siguiente manera:</t>
    </r>
  </si>
  <si>
    <r>
      <rPr>
        <b/>
        <sz val="10"/>
        <color indexed="10"/>
        <rFont val="Arial"/>
        <family val="2"/>
      </rPr>
      <t>44</t>
    </r>
    <r>
      <rPr>
        <sz val="10"/>
        <rFont val="Arial"/>
        <family val="2"/>
      </rPr>
      <t>/ Pago Bullet (15.01.27)</t>
    </r>
  </si>
  <si>
    <r>
      <rPr>
        <b/>
        <sz val="10"/>
        <color indexed="10"/>
        <rFont val="Arial"/>
        <family val="2"/>
      </rPr>
      <t>45</t>
    </r>
    <r>
      <rPr>
        <b/>
        <sz val="10"/>
        <rFont val="Arial"/>
        <family val="2"/>
      </rPr>
      <t xml:space="preserve">/ </t>
    </r>
    <r>
      <rPr>
        <sz val="10"/>
        <rFont val="Arial"/>
        <family val="2"/>
      </rPr>
      <t>El plazo total del préstamo es de 21 años; será amortizado de la siguiente manera:</t>
    </r>
  </si>
  <si>
    <r>
      <rPr>
        <b/>
        <sz val="10"/>
        <color indexed="10"/>
        <rFont val="Arial"/>
        <family val="2"/>
      </rPr>
      <t>46</t>
    </r>
    <r>
      <rPr>
        <b/>
        <sz val="10"/>
        <rFont val="Arial"/>
        <family val="2"/>
      </rPr>
      <t xml:space="preserve">/ </t>
    </r>
    <r>
      <rPr>
        <sz val="10"/>
        <rFont val="Arial"/>
        <family val="2"/>
      </rPr>
      <t>El plazo total del préstamo es de 20 años; será amortizado de la siguiente manera:</t>
    </r>
  </si>
  <si>
    <r>
      <rPr>
        <b/>
        <sz val="10"/>
        <color indexed="10"/>
        <rFont val="Arial"/>
        <family val="2"/>
      </rPr>
      <t>47</t>
    </r>
    <r>
      <rPr>
        <b/>
        <sz val="10"/>
        <rFont val="Arial"/>
        <family val="2"/>
      </rPr>
      <t xml:space="preserve">/ </t>
    </r>
    <r>
      <rPr>
        <sz val="10"/>
        <rFont val="Arial"/>
        <family val="2"/>
      </rPr>
      <t>El préstamo devengará la siguiente tasa de interés:</t>
    </r>
  </si>
  <si>
    <r>
      <rPr>
        <b/>
        <sz val="10"/>
        <color indexed="10"/>
        <rFont val="Arial"/>
        <family val="2"/>
      </rPr>
      <t>48</t>
    </r>
    <r>
      <rPr>
        <b/>
        <sz val="10"/>
        <rFont val="Arial"/>
        <family val="2"/>
      </rPr>
      <t xml:space="preserve">/ </t>
    </r>
    <r>
      <rPr>
        <sz val="10"/>
        <rFont val="Arial"/>
        <family val="2"/>
      </rPr>
      <t>Tasa de Interés Fija a ser determinada por el KfW en la fecha de firma del Contrato de Préstamo.</t>
    </r>
  </si>
  <si>
    <r>
      <rPr>
        <b/>
        <sz val="10"/>
        <color indexed="10"/>
        <rFont val="Arial"/>
        <family val="2"/>
      </rPr>
      <t>49</t>
    </r>
    <r>
      <rPr>
        <b/>
        <sz val="10"/>
        <rFont val="Arial"/>
        <family val="2"/>
      </rPr>
      <t>/</t>
    </r>
    <r>
      <rPr>
        <sz val="10"/>
        <rFont val="Arial"/>
        <family val="2"/>
      </rPr>
      <t xml:space="preserve"> El período de gracia estará en función del</t>
    </r>
    <r>
      <rPr>
        <b/>
        <sz val="10"/>
        <rFont val="Arial"/>
        <family val="2"/>
      </rPr>
      <t xml:space="preserve"> </t>
    </r>
    <r>
      <rPr>
        <sz val="10"/>
        <rFont val="Arial"/>
        <family val="2"/>
      </rPr>
      <t>pago de la primera cuota de amortización, la cual será a los 4 años después de la fecha de entrada en vigor del Convenio de Financiación.</t>
    </r>
  </si>
  <si>
    <r>
      <rPr>
        <b/>
        <sz val="10"/>
        <color indexed="10"/>
        <rFont val="Arial"/>
        <family val="2"/>
      </rPr>
      <t>50</t>
    </r>
    <r>
      <rPr>
        <b/>
        <sz val="10"/>
        <rFont val="Arial"/>
        <family val="2"/>
      </rPr>
      <t xml:space="preserve">/ </t>
    </r>
    <r>
      <rPr>
        <sz val="10"/>
        <rFont val="Arial"/>
        <family val="2"/>
      </rPr>
      <t>Pago Bullet: vencimiento 15.06.2028.</t>
    </r>
  </si>
  <si>
    <r>
      <rPr>
        <b/>
        <sz val="10"/>
        <color indexed="10"/>
        <rFont val="Arial"/>
        <family val="2"/>
      </rPr>
      <t>51</t>
    </r>
    <r>
      <rPr>
        <b/>
        <sz val="10"/>
        <rFont val="Arial"/>
        <family val="2"/>
      </rPr>
      <t xml:space="preserve">/ </t>
    </r>
    <r>
      <rPr>
        <sz val="10"/>
        <rFont val="Arial"/>
        <family val="2"/>
      </rPr>
      <t>Se amortizará en 5 cuotas que vencerán el 15/10/2021, 15/04/2022, 15/10/2022, 15/04/2023 y 15/10/2023.</t>
    </r>
  </si>
  <si>
    <r>
      <rPr>
        <b/>
        <sz val="10"/>
        <color indexed="10"/>
        <rFont val="Arial"/>
        <family val="2"/>
      </rPr>
      <t>52</t>
    </r>
    <r>
      <rPr>
        <b/>
        <sz val="10"/>
        <rFont val="Arial"/>
        <family val="2"/>
      </rPr>
      <t xml:space="preserve">/ </t>
    </r>
    <r>
      <rPr>
        <sz val="10"/>
        <rFont val="Arial"/>
        <family val="2"/>
      </rPr>
      <t>La Tasa de Interés aplicable para los primeros ochos años es de Libor a 6 meses + 1.8% anual.</t>
    </r>
  </si>
  <si>
    <r>
      <rPr>
        <b/>
        <sz val="10"/>
        <color indexed="10"/>
        <rFont val="Arial"/>
        <family val="2"/>
      </rPr>
      <t>53</t>
    </r>
    <r>
      <rPr>
        <b/>
        <sz val="10"/>
        <rFont val="Arial"/>
        <family val="2"/>
      </rPr>
      <t xml:space="preserve">/ </t>
    </r>
    <r>
      <rPr>
        <sz val="10"/>
        <rFont val="Arial"/>
        <family val="2"/>
      </rPr>
      <t>Se amortizará en 3 cuotas que vencerán el 15/04/2022, 15/10/2022 y el 15/04/2023.</t>
    </r>
  </si>
  <si>
    <r>
      <rPr>
        <b/>
        <sz val="10"/>
        <color indexed="10"/>
        <rFont val="Arial"/>
        <family val="2"/>
      </rPr>
      <t>54</t>
    </r>
    <r>
      <rPr>
        <b/>
        <sz val="10"/>
        <rFont val="Arial"/>
        <family val="2"/>
      </rPr>
      <t xml:space="preserve">/ </t>
    </r>
    <r>
      <rPr>
        <sz val="10"/>
        <rFont val="Arial"/>
        <family val="2"/>
      </rPr>
      <t>Se amortizará en 2 cuotas que vencerán el 15/04/2022, 15/10/2022.</t>
    </r>
  </si>
  <si>
    <r>
      <rPr>
        <b/>
        <sz val="10"/>
        <color indexed="10"/>
        <rFont val="Arial"/>
        <family val="2"/>
      </rPr>
      <t>55</t>
    </r>
    <r>
      <rPr>
        <b/>
        <sz val="10"/>
        <rFont val="Arial"/>
        <family val="2"/>
      </rPr>
      <t xml:space="preserve">/ </t>
    </r>
    <r>
      <rPr>
        <sz val="10"/>
        <rFont val="Arial"/>
        <family val="2"/>
      </rPr>
      <t>Se amortizará en 5 cuotas que vencerán el 15/11/2021, 15/05/2022, 15/11/2022, 15/05/2023 y 15/11/2023.</t>
    </r>
  </si>
  <si>
    <r>
      <rPr>
        <b/>
        <sz val="10"/>
        <color indexed="10"/>
        <rFont val="Arial"/>
        <family val="2"/>
      </rPr>
      <t>56</t>
    </r>
    <r>
      <rPr>
        <b/>
        <sz val="10"/>
        <rFont val="Arial"/>
        <family val="2"/>
      </rPr>
      <t xml:space="preserve">/ </t>
    </r>
    <r>
      <rPr>
        <sz val="10"/>
        <rFont val="Arial"/>
        <family val="2"/>
      </rPr>
      <t>Se amortizará en 1 cuotas que vencerá el 15/06/2028.</t>
    </r>
  </si>
  <si>
    <r>
      <rPr>
        <b/>
        <sz val="10"/>
        <color indexed="10"/>
        <rFont val="Arial"/>
        <family val="2"/>
      </rPr>
      <t>57</t>
    </r>
    <r>
      <rPr>
        <b/>
        <sz val="10"/>
        <rFont val="Arial"/>
        <family val="2"/>
      </rPr>
      <t xml:space="preserve">/ </t>
    </r>
    <r>
      <rPr>
        <sz val="10"/>
        <rFont val="Arial"/>
        <family val="2"/>
      </rPr>
      <t>Pago Bullet: vencimiento 15.04.2029.</t>
    </r>
  </si>
  <si>
    <r>
      <rPr>
        <b/>
        <sz val="10"/>
        <color indexed="10"/>
        <rFont val="Arial"/>
        <family val="2"/>
      </rPr>
      <t>58</t>
    </r>
    <r>
      <rPr>
        <b/>
        <sz val="10"/>
        <rFont val="Arial"/>
        <family val="2"/>
      </rPr>
      <t xml:space="preserve">/ </t>
    </r>
    <r>
      <rPr>
        <sz val="10"/>
        <rFont val="Arial"/>
        <family val="2"/>
      </rPr>
      <t>Pago Bullet: vencimiento 28.02.2029.</t>
    </r>
  </si>
  <si>
    <r>
      <rPr>
        <b/>
        <sz val="10"/>
        <color indexed="10"/>
        <rFont val="Arial"/>
        <family val="2"/>
      </rPr>
      <t>59</t>
    </r>
    <r>
      <rPr>
        <b/>
        <sz val="10"/>
        <rFont val="Arial"/>
        <family val="2"/>
      </rPr>
      <t>/</t>
    </r>
    <r>
      <rPr>
        <sz val="10"/>
        <rFont val="Arial"/>
        <family val="2"/>
      </rPr>
      <t xml:space="preserve"> En el marco del Fondo de Financiamiento Compensatorio de la CAF, la tasa de interés para los primeros ocho años es de Libor a 6 meses + 1,1% anual .</t>
    </r>
  </si>
  <si>
    <r>
      <rPr>
        <b/>
        <sz val="10"/>
        <color indexed="10"/>
        <rFont val="Arial"/>
        <family val="2"/>
      </rPr>
      <t>60/</t>
    </r>
    <r>
      <rPr>
        <sz val="10"/>
        <rFont val="Arial"/>
        <family val="2"/>
      </rPr>
      <t xml:space="preserve"> El artículo 2º del D.S. Nº 020-2012-EF establece que, a efectos de la emisión de bonos (externa o interna) autorizada, hasta por US$ 1,600.0 millones,  el MEF a través de la DGETP, podrá reasignar los montos de endeudamiento previstos en literal b) del párrafo 4.1 (Sub-Programa "Apoyo a la Balanza de Pagos" de endeudamiento externo) y en el literal b) del párrafo 4.2 de la citada Ley (Sub-Programa "Apoyo a la Balanza de Pagos" de endeudamiento interno). En ese contexto, el Sub-Programa "Apoyo a la Balanza de Pagos" de endeudamiento externo queda recompuesto,  de originalmente US$ 1,010.55 millones a US$ 610.55 millones. Con cargo a la operación de endeudamiento aprobada por D.S. Nº 020-2011-EF se afecta US$ 500,0 millones.</t>
    </r>
  </si>
  <si>
    <r>
      <rPr>
        <b/>
        <sz val="10"/>
        <color indexed="10"/>
        <rFont val="Arial"/>
        <family val="2"/>
      </rPr>
      <t>61/</t>
    </r>
    <r>
      <rPr>
        <b/>
        <sz val="10"/>
        <rFont val="Arial"/>
        <family val="2"/>
      </rPr>
      <t xml:space="preserve"> </t>
    </r>
    <r>
      <rPr>
        <sz val="10"/>
        <rFont val="Arial"/>
        <family val="2"/>
      </rPr>
      <t>Pago bullet que vence el 18.11.2050.</t>
    </r>
  </si>
  <si>
    <r>
      <rPr>
        <b/>
        <sz val="10"/>
        <color indexed="10"/>
        <rFont val="Arial"/>
        <family val="2"/>
      </rPr>
      <t xml:space="preserve">62/ </t>
    </r>
    <r>
      <rPr>
        <sz val="10"/>
        <rFont val="Arial"/>
        <family val="2"/>
      </rPr>
      <t>Para la parte del préstamo que se destine a obras devengará una tasa de 1.7%, y la porción del préstamo que se destine a servicios de consultoría devengará una tasa de 0.01%.</t>
    </r>
  </si>
  <si>
    <r>
      <rPr>
        <b/>
        <sz val="10"/>
        <color indexed="10"/>
        <rFont val="Arial"/>
        <family val="2"/>
      </rPr>
      <t xml:space="preserve">63/ </t>
    </r>
    <r>
      <rPr>
        <sz val="10"/>
        <rFont val="Arial"/>
        <family val="2"/>
      </rPr>
      <t>Para la parte del préstamo que se destine a obras, maq. y equipos devengará una tasa de 0.6%, y la porción del préstamo que se destine a servicios de consultoría devengará una tasa de 0.01%.</t>
    </r>
  </si>
  <si>
    <r>
      <rPr>
        <b/>
        <sz val="10"/>
        <color indexed="10"/>
        <rFont val="Arial"/>
        <family val="2"/>
      </rPr>
      <t xml:space="preserve">64/ </t>
    </r>
    <r>
      <rPr>
        <sz val="10"/>
        <rFont val="Arial"/>
        <family val="2"/>
      </rPr>
      <t>Para la parte del préstamo que se destine a sub-préstamos devengará una tasa de 0.6%, y la porción del préstamo que se destine a servicios de consultoría devengará una tasa de 0.01%.</t>
    </r>
  </si>
  <si>
    <r>
      <rPr>
        <b/>
        <sz val="10"/>
        <color indexed="10"/>
        <rFont val="Arial"/>
        <family val="2"/>
      </rPr>
      <t>65/</t>
    </r>
    <r>
      <rPr>
        <sz val="10"/>
        <rFont val="Arial"/>
        <family val="2"/>
      </rPr>
      <t xml:space="preserve"> Tramo I : EUR 105 782.85 0,75%</t>
    </r>
  </si>
  <si>
    <r>
      <rPr>
        <b/>
        <sz val="10"/>
        <color indexed="10"/>
        <rFont val="Arial"/>
        <family val="2"/>
      </rPr>
      <t>66/</t>
    </r>
    <r>
      <rPr>
        <sz val="10"/>
        <rFont val="Arial"/>
        <family val="2"/>
      </rPr>
      <t xml:space="preserve"> Tramo I : 30 años</t>
    </r>
  </si>
  <si>
    <r>
      <rPr>
        <b/>
        <sz val="10"/>
        <color indexed="10"/>
        <rFont val="Arial"/>
        <family val="2"/>
      </rPr>
      <t>67</t>
    </r>
    <r>
      <rPr>
        <sz val="10"/>
        <color indexed="10"/>
        <rFont val="Arial"/>
        <family val="2"/>
      </rPr>
      <t xml:space="preserve">/ </t>
    </r>
    <r>
      <rPr>
        <sz val="10"/>
        <rFont val="Arial"/>
        <family val="2"/>
      </rPr>
      <t>Para la parte del préstamo que se destine a obras civiles (turismo, cultura, transporte, fortalecimiento institucional) devengará una tasa de interés 1.6%, así como una tasa de inetrés de 1% para la parte del préstamo que se destine a manejo de reiduos sólidos; y una tasa de 0.01% para servicios de consultoría.</t>
    </r>
  </si>
  <si>
    <r>
      <rPr>
        <b/>
        <sz val="10"/>
        <color indexed="10"/>
        <rFont val="Arial"/>
        <family val="2"/>
      </rPr>
      <t>68/</t>
    </r>
    <r>
      <rPr>
        <b/>
        <sz val="10"/>
        <rFont val="Arial"/>
        <family val="2"/>
      </rPr>
      <t xml:space="preserve"> </t>
    </r>
    <r>
      <rPr>
        <sz val="10"/>
        <rFont val="Arial"/>
        <family val="2"/>
      </rPr>
      <t>Pago Bullet-vencimiento 15.09.24.</t>
    </r>
  </si>
  <si>
    <r>
      <rPr>
        <b/>
        <sz val="10"/>
        <color indexed="10"/>
        <rFont val="Arial"/>
        <family val="2"/>
      </rPr>
      <t xml:space="preserve">69/ </t>
    </r>
    <r>
      <rPr>
        <sz val="10"/>
        <rFont val="Arial"/>
        <family val="2"/>
      </rPr>
      <t>Pago Bullet-vencimiento 15.09.27.</t>
    </r>
  </si>
  <si>
    <r>
      <t>70/</t>
    </r>
    <r>
      <rPr>
        <b/>
        <sz val="10"/>
        <rFont val="Arial"/>
        <family val="2"/>
      </rPr>
      <t xml:space="preserve"> </t>
    </r>
    <r>
      <rPr>
        <sz val="10"/>
        <rFont val="Arial"/>
        <family val="2"/>
      </rPr>
      <t>El período de gracia estará en función del pago de la primera cuota de amortización, la cual será a los 5 años después de la fecha de entrada en vigor del Convenio de Financiación.</t>
    </r>
  </si>
  <si>
    <t xml:space="preserve">   i) el plazo de de reembolso se calculará en función al monto disponible de la garantía: si dicho monto es mayor o igual a US$ 45,0 millones, el periódo de amortz. será de 15 años; si es mayor o igual a US$ 30,0 millones, pero menor a US$45,0 millones, será de 10 años; y,  si dicho monto es menor a US$ 30,0 millones, el período de amortiz. será de 5 años.</t>
  </si>
  <si>
    <t>D.S. Nº 353-2013-EF</t>
  </si>
  <si>
    <t>D.S. Nº 355-2013-EF</t>
  </si>
  <si>
    <t>D.S. Nº 356-2013-EF</t>
  </si>
  <si>
    <t>G.R. de Apurímac</t>
  </si>
  <si>
    <t>D.S. Nº 070-2013-EF</t>
  </si>
  <si>
    <t>D.S. Nº 141-2013-EF</t>
  </si>
  <si>
    <t>D.S. Nº 222-2013-EF</t>
  </si>
  <si>
    <t>D.S. Nº 269-2013-EF</t>
  </si>
  <si>
    <t>D.S. Nº 294-2013-EF</t>
  </si>
  <si>
    <t>D.S. Nº 296-2013-EF</t>
  </si>
  <si>
    <t>D.S. Nº 297-2013-EF</t>
  </si>
  <si>
    <t>D.S. Nº 298-2013-EF</t>
  </si>
  <si>
    <t>D.S. Nº 305-2013-EF</t>
  </si>
  <si>
    <t>D.S. Nº 354-2013-EF</t>
  </si>
  <si>
    <t>Programa de Gestión de Resultados para la Inclusión Social I</t>
  </si>
  <si>
    <t>Programa SWAP Educación</t>
  </si>
  <si>
    <t>Proyecto "Ampliación del Apoyo a las Alianzas Rurales Productivas en la Sierra del Perú - Aliados II, en las Regiones de Apurímac, Ayacucho, Huancavelica, Huánuco, Junín y Pasco".</t>
  </si>
  <si>
    <t xml:space="preserve">Proyecto "Mejoramiento del Sistema Nacional de Control para una Gestión Pública Eficaz e Integra" </t>
  </si>
  <si>
    <t>Programa de Inversión Pública para el Fortalecimeinto de la Gestión Ambiental y Social de los Impactos Indirectos del Corredor Vial Interoceánico Sur - II Etapa.</t>
  </si>
  <si>
    <t>Programa de Gestión de Resultados para la Inclusión Social</t>
  </si>
  <si>
    <t>Programa de Competitividad Agraria III</t>
  </si>
  <si>
    <t>Mejoramiento del Servico de Información Presupuestaria de Planillas del Sector Público</t>
  </si>
  <si>
    <t>Programa Nacional de Innovacion Agraria</t>
  </si>
  <si>
    <t>MED</t>
  </si>
  <si>
    <t>UCPS/MEF</t>
  </si>
  <si>
    <t>INIA</t>
  </si>
  <si>
    <t>8.3 años</t>
  </si>
  <si>
    <r>
      <t xml:space="preserve">71/ </t>
    </r>
    <r>
      <rPr>
        <sz val="10"/>
        <rFont val="Arial"/>
        <family val="2"/>
      </rPr>
      <t>Se pagará en seis cuotas: la primera vencerá el 15/03/2018 y la última15/09/2020.</t>
    </r>
  </si>
  <si>
    <t>71/</t>
  </si>
  <si>
    <r>
      <t>72/</t>
    </r>
    <r>
      <rPr>
        <sz val="10"/>
        <rFont val="Arial"/>
        <family val="2"/>
      </rPr>
      <t xml:space="preserve"> Pago bullet: 15.03.2021</t>
    </r>
  </si>
  <si>
    <t>72/</t>
  </si>
  <si>
    <r>
      <t>73/</t>
    </r>
    <r>
      <rPr>
        <sz val="10"/>
        <rFont val="Arial"/>
        <family val="2"/>
      </rPr>
      <t xml:space="preserve"> La tasa de interés aplicable de los 16 pagos semestrales será de Libor a 6M + 1,15%, de acuerdo con las políticas de operaciones de la CAF.</t>
    </r>
  </si>
  <si>
    <r>
      <t>74/</t>
    </r>
    <r>
      <rPr>
        <sz val="10"/>
        <rFont val="Arial"/>
        <family val="2"/>
      </rPr>
      <t xml:space="preserve"> Pago bullet: 15.03.2019</t>
    </r>
  </si>
  <si>
    <r>
      <t>75/</t>
    </r>
    <r>
      <rPr>
        <sz val="10"/>
        <rFont val="Arial"/>
        <family val="2"/>
      </rPr>
      <t xml:space="preserve"> Pago bullet: 15.04.2019</t>
    </r>
  </si>
  <si>
    <t>74/</t>
  </si>
  <si>
    <t>75/</t>
  </si>
  <si>
    <r>
      <t>76/</t>
    </r>
    <r>
      <rPr>
        <sz val="10"/>
        <rFont val="Arial"/>
        <family val="2"/>
      </rPr>
      <t xml:space="preserve"> Pago bullet: 15.03.2020</t>
    </r>
  </si>
  <si>
    <t>76/</t>
  </si>
  <si>
    <t>D.S. Nº 307-2014-EF</t>
  </si>
  <si>
    <t>D.S. Nº 308-2014-EF</t>
  </si>
  <si>
    <t>Programa de Protección de valles y poblaciones rurales vulnerables ante inundaciones</t>
  </si>
  <si>
    <t>EGESUR</t>
  </si>
  <si>
    <t>MINAGRI</t>
  </si>
  <si>
    <t>D.S. Nº 345-2014-EF</t>
  </si>
  <si>
    <t>D.S. Nº 346-2014-EF</t>
  </si>
  <si>
    <t>Programa de Reforma de Gestión Municipal II</t>
  </si>
  <si>
    <t>MEF-DGETP</t>
  </si>
  <si>
    <t>D.S. Nº 054-2014-EF</t>
  </si>
  <si>
    <t>D.S. Nº 210-2014-EF</t>
  </si>
  <si>
    <t>D.S. Nº 211-2014-EF</t>
  </si>
  <si>
    <t>D.S. Nº 212-2014-EF</t>
  </si>
  <si>
    <t>D.S. Nº 290-2014-EF</t>
  </si>
  <si>
    <t>D.S. Nº 306-2014-EF</t>
  </si>
  <si>
    <t>D.S. Nº 328-2014-EF</t>
  </si>
  <si>
    <t>D.S. Nº 329-2014-EF</t>
  </si>
  <si>
    <t>D.S. Nº 358-2014-EF</t>
  </si>
  <si>
    <t>D.S. Nº 359-2014-EF</t>
  </si>
  <si>
    <t>D.S. Nº 360-2014-EF</t>
  </si>
  <si>
    <t>D.S. Nº 365-2014-EF</t>
  </si>
  <si>
    <t>Obras Hidráulicas Mayores del Proyecto Chavimochic Tercera Etapa</t>
  </si>
  <si>
    <t>Proyectos para la Consolidación de la Gestión Tributaria y Aduanera</t>
  </si>
  <si>
    <t>Proyecto  "Mejoramiento del Transporte en la Ciudad del Cusco"</t>
  </si>
  <si>
    <t>Programa de reducción de vulnerabilidad del Estado ante desastres III.</t>
  </si>
  <si>
    <t>Mejoramiento del sistema de información estadística agraria para el desarrollo rural del Perú</t>
  </si>
  <si>
    <t>Programa de Segunda Generación de Reformas del Sector Saneamiento III</t>
  </si>
  <si>
    <t>Programa para la Mejora de Productividad y la Competitividad III</t>
  </si>
  <si>
    <t>Proyecto Optimización de Sistemas de Agua Potable y Alcantarillado, Sectorización, Rehabilitación Redes y Actualización de Catastro - Área de Influencia Planta Huachipa - Área de Drenaje Oquendo, Sinchi Roca, Puente Piedra y Sectores 84, 83, 85 y 212 -Lima</t>
  </si>
  <si>
    <t>Proyecto Catastro, Titulación y Registro de Tierras Rurales en el Perú, Tercera Etapa - PTRT3</t>
  </si>
  <si>
    <t>GR.La Libertad</t>
  </si>
  <si>
    <t>SUNAT/D.UCP DGETP</t>
  </si>
  <si>
    <t>GR Cusco/COPESCO</t>
  </si>
  <si>
    <t>MTC - AATE</t>
  </si>
  <si>
    <t>MINAGRI-AGRO RURAL</t>
  </si>
  <si>
    <t>Libor 3 meses+Margen BID</t>
  </si>
  <si>
    <t>Libor 6 meses+Margen BIRF</t>
  </si>
  <si>
    <t>Libor 6 meses+Margen Fijo BIRF</t>
  </si>
  <si>
    <t>77/</t>
  </si>
  <si>
    <t>79/</t>
  </si>
  <si>
    <t>80/</t>
  </si>
  <si>
    <t>82/</t>
  </si>
  <si>
    <t>83/</t>
  </si>
  <si>
    <t>D.S. Nº 380-2015-EF</t>
  </si>
  <si>
    <t>D.S. Nº 412-2015-EF</t>
  </si>
  <si>
    <t>Programa de Energías Renovables y Eficiencia Energética - Etapa II</t>
  </si>
  <si>
    <t>Proyecto "Optimización de Sistemas de Agua Potable y Alcantarillado, Sectorización, Rehabilitación  Redes y Actualización de Catastro - Área de Influencia Planta Huachipa - Área de Drenaje Oquendo, Sinchi Roca, Puente Piedra y Sectores 84, 83, 85 y 212 - Lima"</t>
  </si>
  <si>
    <t>5años</t>
  </si>
  <si>
    <t>D.S. Nº 365-2015-EF</t>
  </si>
  <si>
    <t>D.S. Nº 413-2015-EF</t>
  </si>
  <si>
    <t>Proyecto "Construcción de la Línea 2 y Ramal Av. Faucett - Gambetta de la Red Básica del Metro de Lima y Callao Provincias de Lima y Callao, Departamento de Lima"</t>
  </si>
  <si>
    <t>AATE</t>
  </si>
  <si>
    <t>MTC</t>
  </si>
  <si>
    <t>Lib. 6 M + Marg.  Variable BIRF</t>
  </si>
  <si>
    <t>Libor a 3 M + Margen BID</t>
  </si>
  <si>
    <t>Libor 6 M+Margen Variable BIRF</t>
  </si>
  <si>
    <t>15/</t>
  </si>
  <si>
    <r>
      <rPr>
        <b/>
        <sz val="10"/>
        <color indexed="10"/>
        <rFont val="Arial"/>
        <family val="2"/>
      </rPr>
      <t xml:space="preserve">77/ </t>
    </r>
    <r>
      <rPr>
        <sz val="10"/>
        <rFont val="Arial"/>
        <family val="2"/>
      </rPr>
      <t>0,4% obras civiles; 0,01% servicios de consultoría.</t>
    </r>
  </si>
  <si>
    <r>
      <t>79/</t>
    </r>
    <r>
      <rPr>
        <sz val="10"/>
        <rFont val="Arial"/>
        <family val="2"/>
      </rPr>
      <t xml:space="preserve"> El plazo de gracia es de 5 años, pudiendo varias este periodo de acuerdo con la fecha de firma del contrato de préstamo.</t>
    </r>
  </si>
  <si>
    <r>
      <rPr>
        <b/>
        <sz val="10"/>
        <color indexed="10"/>
        <rFont val="Arial"/>
        <family val="2"/>
      </rPr>
      <t>80</t>
    </r>
    <r>
      <rPr>
        <sz val="10"/>
        <color indexed="10"/>
        <rFont val="Arial"/>
        <family val="2"/>
      </rPr>
      <t>/</t>
    </r>
    <r>
      <rPr>
        <sz val="10"/>
        <rFont val="Arial"/>
        <family val="2"/>
      </rPr>
      <t xml:space="preserve"> La Fecha de vencimiento del préstamo son el 15 de mayo y 15 de noviembre de cada año. El pago de la primera cuota de amortización es a los 60 meses de la firma del contrato de préstamo y si esta fecha no coincide con la fecha del 15  de mayo o 15 de noviembre, la primera cuota será en una de estas dos fechas inmediatamente anterior a los 60 meses a partir de la suscripción del acotado contrato.  </t>
    </r>
  </si>
  <si>
    <r>
      <t>81/</t>
    </r>
    <r>
      <rPr>
        <sz val="10"/>
        <rFont val="Arial"/>
        <family val="2"/>
      </rPr>
      <t xml:space="preserve"> Dicha tasa tendrá un descuento de 0,80 puntos porcentuales de acuerdo a la politica de CAF, con lo cual la tasa sería de Libor a 6 meses mas un margen de 1,05% anual.</t>
    </r>
  </si>
  <si>
    <r>
      <t>82</t>
    </r>
    <r>
      <rPr>
        <b/>
        <sz val="10"/>
        <rFont val="Arial"/>
        <family val="2"/>
      </rPr>
      <t>/</t>
    </r>
    <r>
      <rPr>
        <sz val="10"/>
        <rFont val="Arial"/>
        <family val="2"/>
      </rPr>
      <t xml:space="preserve"> El plazo de gracia es de 5.5 años, pudiendo varias este periodo de acuerdo con la fecha de firma del contrato de préstamo.</t>
    </r>
  </si>
  <si>
    <r>
      <rPr>
        <b/>
        <sz val="10"/>
        <color indexed="10"/>
        <rFont val="Arial"/>
        <family val="2"/>
      </rPr>
      <t>83/</t>
    </r>
    <r>
      <rPr>
        <sz val="10"/>
        <rFont val="Arial"/>
        <family val="2"/>
      </rPr>
      <t xml:space="preserve"> La Fecha de vencimiento del préstamo son el 15 de abril y 15 de octubre de cada año. El pago de la primera cuota de amortización es a los 66 meses de la firma del contrato de préstamo y si esta fecha no coincide con la fecha del 15  de abril o 15 de octubre, la primera cuota será en una de estas dos fechas inmediatamente anterior a los 66 meses a partir de la suscripción del acotado contrato.  </t>
    </r>
  </si>
  <si>
    <r>
      <t>84</t>
    </r>
    <r>
      <rPr>
        <b/>
        <sz val="10"/>
        <rFont val="Arial"/>
        <family val="2"/>
      </rPr>
      <t>/</t>
    </r>
    <r>
      <rPr>
        <sz val="10"/>
        <rFont val="Arial"/>
        <family val="2"/>
      </rPr>
      <t xml:space="preserve"> Según el artículo 1 del D.S. Nº 380-2015-EF, préstamo del KfW es en Dólares Americanos equivalentes a € 40,0 millones. Los Dólares Americanos han sido estimados con el Tpo Cruce de la SBS de la fecha de promulgación de citado Decreto Supremo.</t>
    </r>
  </si>
  <si>
    <t>Proy. Paso de Frontera Desagüadero (Perú-Bolivia) y Componentes Transversales en el Marco del Programa "Pasos de Frontera Perú - IIRSA"</t>
  </si>
  <si>
    <t>D.S. Nº 256-2016-EF</t>
  </si>
  <si>
    <t>D.S. Nº 379-2016-EF</t>
  </si>
  <si>
    <t>AFD</t>
  </si>
  <si>
    <t>Proyecto "Construcción de la Línea 2 y Ramal Elmer Faucett - Gambetta de la Red Básica del Metro de Lima y Callao Provincia de Lima y Callao, Departamento de Lima"</t>
  </si>
  <si>
    <t>D.S. Nº 255-2016-EF</t>
  </si>
  <si>
    <t>D.S. Nº 343-2016-EF</t>
  </si>
  <si>
    <t>D.S. Nº 396-2016-EF</t>
  </si>
  <si>
    <t>D.S. Nº 397-2016-EF</t>
  </si>
  <si>
    <t>D.S. Nº 398-2016-EF</t>
  </si>
  <si>
    <t>D.S. Nº 101-2016-EF</t>
  </si>
  <si>
    <t>D.S. Nº 172-2016-EF</t>
  </si>
  <si>
    <t>D.S. Nº 196-2016-EF</t>
  </si>
  <si>
    <t>D.S. Nº 240-2016-EF</t>
  </si>
  <si>
    <t xml:space="preserve">Proyecto "Mejoramiento y ampliación de los Servicios del Centro de Empleo para la inserción laboral formal de los jovenes en la Regiones de Arequipa, Ica, Lambayeque, La Libertad, Piura, San Martín y en Lima Metropolitana". </t>
  </si>
  <si>
    <t>Obras hidráulicas mayores del proyecto Chavimochic Tercera Etapa</t>
  </si>
  <si>
    <t xml:space="preserve">Proyecto "Mejoramiento de los niveles de innovación productiva a nivel nacional". </t>
  </si>
  <si>
    <t>Cofinanciamiento de la Concesión del Primer Componente Obras Mayores de Afianzamiento Hidrico y de Infraestructura para irrigación de las Pampas de Siguas del Proyecto Majes Siguas II Etapa.</t>
  </si>
  <si>
    <t>Programa nacional de innovación en Pesca y Acuicultura</t>
  </si>
  <si>
    <t>Proyecto "Mejoramiento y ampliación de los servicios del Sistema Nacional de Ciencia, Tecnología e Innovación Tecnológica"</t>
  </si>
  <si>
    <t>Programa "Mejoramiento y ampliación de los servicios de calidad ambiental a nivel nacional"</t>
  </si>
  <si>
    <t>MTPE</t>
  </si>
  <si>
    <t>GR La Libertad/PECH</t>
  </si>
  <si>
    <t>PRODUCE</t>
  </si>
  <si>
    <t>GR Arequipa</t>
  </si>
  <si>
    <t>Tasa FIDA Variable</t>
  </si>
  <si>
    <t xml:space="preserve">Libor a 6M+ 2,05% </t>
  </si>
  <si>
    <t>Libor a 6M + Margen Fijo BIRF</t>
  </si>
  <si>
    <t>Libor a 6M + Margen BIRF</t>
  </si>
  <si>
    <t>9,5 años</t>
  </si>
  <si>
    <t xml:space="preserve">   Ley Nº 30374</t>
  </si>
  <si>
    <t>Bonistas</t>
  </si>
  <si>
    <t>Emisión de Bonos Globales Apoyo Balanza Pagos</t>
  </si>
  <si>
    <r>
      <rPr>
        <b/>
        <sz val="10"/>
        <color indexed="10"/>
        <rFont val="Arial"/>
        <family val="2"/>
      </rPr>
      <t>78</t>
    </r>
    <r>
      <rPr>
        <b/>
        <sz val="10"/>
        <rFont val="Arial"/>
        <family val="2"/>
      </rPr>
      <t xml:space="preserve">/ </t>
    </r>
    <r>
      <rPr>
        <sz val="10"/>
        <rFont val="Arial"/>
        <family val="2"/>
      </rPr>
      <t>La tasa de interés aplicable para los diesiséis (16) primeros pagos semestrales será de Libor a 6M + 1,35%, de acuerdo con las políticas de operaciones de la CAF.</t>
    </r>
  </si>
  <si>
    <r>
      <t xml:space="preserve">20/ </t>
    </r>
    <r>
      <rPr>
        <sz val="10"/>
        <rFont val="Arial"/>
        <family val="2"/>
      </rPr>
      <t>Tipo de cabio EUR/USD de 1.1794, establecido en</t>
    </r>
    <r>
      <rPr>
        <b/>
        <sz val="10"/>
        <rFont val="Arial"/>
        <family val="2"/>
      </rPr>
      <t xml:space="preserve"> </t>
    </r>
    <r>
      <rPr>
        <sz val="10"/>
        <rFont val="Arial"/>
        <family val="2"/>
      </rPr>
      <t>el contrato de préstamo</t>
    </r>
  </si>
  <si>
    <r>
      <rPr>
        <b/>
        <sz val="10"/>
        <color indexed="10"/>
        <rFont val="Arial"/>
        <family val="2"/>
      </rPr>
      <t>85</t>
    </r>
    <r>
      <rPr>
        <sz val="10"/>
        <color indexed="10"/>
        <rFont val="Arial"/>
        <family val="2"/>
      </rPr>
      <t>/</t>
    </r>
    <r>
      <rPr>
        <sz val="9"/>
        <rFont val="Arial"/>
        <family val="2"/>
      </rPr>
      <t xml:space="preserve"> </t>
    </r>
    <r>
      <rPr>
        <sz val="10"/>
        <rFont val="Arial"/>
        <family val="2"/>
      </rPr>
      <t xml:space="preserve">Cuando la suma de ambas variable (Euribor 6M + 1,01%) sean menores a 0,25%, la tasa de interés será 0,25% anual.  </t>
    </r>
  </si>
  <si>
    <r>
      <t>30</t>
    </r>
    <r>
      <rPr>
        <b/>
        <sz val="10"/>
        <rFont val="Arial"/>
        <family val="2"/>
      </rPr>
      <t xml:space="preserve">/ </t>
    </r>
    <r>
      <rPr>
        <sz val="10"/>
        <rFont val="Arial"/>
        <family val="2"/>
      </rPr>
      <t>Fija a ser determinada a la fecha de firma del Contrato</t>
    </r>
  </si>
  <si>
    <t>86/</t>
  </si>
  <si>
    <t>87/</t>
  </si>
  <si>
    <t>88/</t>
  </si>
  <si>
    <t>89/</t>
  </si>
  <si>
    <t>91/</t>
  </si>
  <si>
    <t>T.C. Del día de promulgación de la Norma Legal</t>
  </si>
  <si>
    <r>
      <t xml:space="preserve"> D.S. 021-2002-EF </t>
    </r>
    <r>
      <rPr>
        <b/>
        <sz val="10"/>
        <color indexed="10"/>
        <rFont val="Arial"/>
        <family val="2"/>
      </rPr>
      <t>11/</t>
    </r>
  </si>
  <si>
    <r>
      <t xml:space="preserve">LIB.6M+  </t>
    </r>
    <r>
      <rPr>
        <sz val="10"/>
        <color indexed="10"/>
        <rFont val="Arial"/>
        <family val="2"/>
      </rPr>
      <t xml:space="preserve"> </t>
    </r>
    <r>
      <rPr>
        <b/>
        <sz val="10"/>
        <color indexed="10"/>
        <rFont val="Arial"/>
        <family val="2"/>
      </rPr>
      <t>12/</t>
    </r>
  </si>
  <si>
    <r>
      <t xml:space="preserve">BID </t>
    </r>
    <r>
      <rPr>
        <b/>
        <sz val="10"/>
        <color indexed="10"/>
        <rFont val="Arial"/>
        <family val="2"/>
      </rPr>
      <t>13/</t>
    </r>
  </si>
  <si>
    <t xml:space="preserve">        15/</t>
  </si>
  <si>
    <r>
      <t>18</t>
    </r>
    <r>
      <rPr>
        <sz val="10"/>
        <color indexed="10"/>
        <rFont val="Arial"/>
        <family val="2"/>
      </rPr>
      <t>/</t>
    </r>
  </si>
  <si>
    <r>
      <t>19</t>
    </r>
    <r>
      <rPr>
        <sz val="10"/>
        <color indexed="10"/>
        <rFont val="Arial"/>
        <family val="2"/>
      </rPr>
      <t>/</t>
    </r>
  </si>
  <si>
    <r>
      <t xml:space="preserve">  28 años </t>
    </r>
    <r>
      <rPr>
        <b/>
        <sz val="10"/>
        <color indexed="10"/>
        <rFont val="Arial"/>
        <family val="2"/>
      </rPr>
      <t>15/</t>
    </r>
  </si>
  <si>
    <r>
      <t xml:space="preserve">Libor 6 meses+2.35% </t>
    </r>
    <r>
      <rPr>
        <b/>
        <sz val="10"/>
        <color indexed="10"/>
        <rFont val="Arial"/>
        <family val="2"/>
      </rPr>
      <t>52/</t>
    </r>
  </si>
  <si>
    <r>
      <t xml:space="preserve">Libor 6 m+2,1% </t>
    </r>
    <r>
      <rPr>
        <b/>
        <sz val="10"/>
        <color indexed="10"/>
        <rFont val="Arial"/>
        <family val="2"/>
      </rPr>
      <t>59/</t>
    </r>
  </si>
  <si>
    <r>
      <t>D.S. Nº 020-2012-EF</t>
    </r>
    <r>
      <rPr>
        <sz val="10"/>
        <color indexed="10"/>
        <rFont val="Arial"/>
        <family val="2"/>
      </rPr>
      <t xml:space="preserve"> </t>
    </r>
    <r>
      <rPr>
        <b/>
        <sz val="10"/>
        <color indexed="10"/>
        <rFont val="Arial"/>
        <family val="2"/>
      </rPr>
      <t>60/</t>
    </r>
  </si>
  <si>
    <r>
      <t xml:space="preserve">PNSR </t>
    </r>
    <r>
      <rPr>
        <b/>
        <sz val="10"/>
        <rFont val="Arial"/>
        <family val="2"/>
      </rPr>
      <t xml:space="preserve"> </t>
    </r>
    <r>
      <rPr>
        <sz val="10"/>
        <rFont val="Arial"/>
        <family val="2"/>
      </rPr>
      <t>-  MVCS</t>
    </r>
  </si>
  <si>
    <r>
      <t>Libor 6 M+ 2,55%</t>
    </r>
    <r>
      <rPr>
        <b/>
        <sz val="10"/>
        <rFont val="Arial"/>
        <family val="2"/>
      </rPr>
      <t xml:space="preserve"> </t>
    </r>
    <r>
      <rPr>
        <b/>
        <sz val="10"/>
        <color indexed="10"/>
        <rFont val="Arial"/>
        <family val="2"/>
      </rPr>
      <t>78/</t>
    </r>
  </si>
  <si>
    <r>
      <t>Libor 6 M+ 1.85%</t>
    </r>
    <r>
      <rPr>
        <b/>
        <sz val="10"/>
        <rFont val="Arial"/>
        <family val="2"/>
      </rPr>
      <t xml:space="preserve"> </t>
    </r>
    <r>
      <rPr>
        <b/>
        <sz val="10"/>
        <color indexed="10"/>
        <rFont val="Arial"/>
        <family val="2"/>
      </rPr>
      <t>81</t>
    </r>
    <r>
      <rPr>
        <sz val="10"/>
        <color indexed="10"/>
        <rFont val="Arial"/>
        <family val="2"/>
      </rPr>
      <t>/</t>
    </r>
  </si>
  <si>
    <r>
      <t xml:space="preserve">EURIBOR 6M+1,01 </t>
    </r>
    <r>
      <rPr>
        <b/>
        <sz val="10"/>
        <color indexed="10"/>
        <rFont val="Arial"/>
        <family val="2"/>
      </rPr>
      <t>85/</t>
    </r>
  </si>
  <si>
    <r>
      <t xml:space="preserve">Libor a 6M+ 1,95% </t>
    </r>
    <r>
      <rPr>
        <b/>
        <sz val="10"/>
        <color indexed="10"/>
        <rFont val="Arial"/>
        <family val="2"/>
      </rPr>
      <t>90/</t>
    </r>
  </si>
  <si>
    <r>
      <t xml:space="preserve">15/ </t>
    </r>
    <r>
      <rPr>
        <sz val="10"/>
        <color indexed="8"/>
        <rFont val="Arial"/>
        <family val="2"/>
      </rPr>
      <t>Pago Bullet</t>
    </r>
  </si>
  <si>
    <r>
      <t xml:space="preserve">16/ </t>
    </r>
    <r>
      <rPr>
        <sz val="10"/>
        <rFont val="Arial"/>
        <family val="2"/>
      </rPr>
      <t>La fecha de pago de la primera cuota de amortización será el 01.01.08, computado a partir de la fecha de en vigor  del Contrato de Préstamo (se estima sea el 11.10.04).</t>
    </r>
  </si>
  <si>
    <r>
      <t xml:space="preserve">17/ </t>
    </r>
    <r>
      <rPr>
        <sz val="10"/>
        <rFont val="Arial"/>
        <family val="2"/>
      </rPr>
      <t>Todo el principal se paga al final del periodo (10 años)</t>
    </r>
  </si>
  <si>
    <r>
      <t xml:space="preserve">18/ </t>
    </r>
    <r>
      <rPr>
        <sz val="10"/>
        <rFont val="Arial"/>
        <family val="2"/>
      </rPr>
      <t>Tasa de interés anual establecida por el BID</t>
    </r>
  </si>
  <si>
    <r>
      <t xml:space="preserve">19/ </t>
    </r>
    <r>
      <rPr>
        <sz val="10"/>
        <rFont val="Arial"/>
        <family val="2"/>
      </rPr>
      <t>Será reembolsado integramente con cargo al primer desembolso del préstamo a ser acordado con ell BID para financiar el proyecto "Programa de Apoyo del Sector Sanitario", hasta por US$ 50,0 millones</t>
    </r>
  </si>
  <si>
    <r>
      <t xml:space="preserve">23/ </t>
    </r>
    <r>
      <rPr>
        <sz val="10"/>
        <rFont val="Arial"/>
        <family val="2"/>
      </rPr>
      <t>Será cancelado en una sola cuota que vencerá el 15.02.2017</t>
    </r>
  </si>
  <si>
    <r>
      <t>2</t>
    </r>
    <r>
      <rPr>
        <b/>
        <sz val="10"/>
        <color indexed="10"/>
        <rFont val="Arial"/>
        <family val="2"/>
      </rPr>
      <t>6/</t>
    </r>
    <r>
      <rPr>
        <b/>
        <sz val="10"/>
        <rFont val="Arial"/>
        <family val="2"/>
      </rPr>
      <t xml:space="preserve"> </t>
    </r>
    <r>
      <rPr>
        <sz val="10"/>
        <rFont val="Arial"/>
        <family val="2"/>
      </rPr>
      <t>Tasa T.I.C.R.</t>
    </r>
    <r>
      <rPr>
        <sz val="10"/>
        <rFont val="Arial"/>
        <family val="2"/>
      </rPr>
      <t>( Tasa de Interés Comercial de Referencia)</t>
    </r>
  </si>
  <si>
    <r>
      <t>2</t>
    </r>
    <r>
      <rPr>
        <b/>
        <sz val="10"/>
        <color indexed="10"/>
        <rFont val="Arial"/>
        <family val="2"/>
      </rPr>
      <t>7/</t>
    </r>
    <r>
      <rPr>
        <b/>
        <sz val="10"/>
        <color indexed="8"/>
        <rFont val="Arial"/>
        <family val="2"/>
      </rPr>
      <t xml:space="preserve"> </t>
    </r>
    <r>
      <rPr>
        <sz val="10"/>
        <color indexed="8"/>
        <rFont val="Arial"/>
        <family val="2"/>
      </rPr>
      <t>Sujeto a una dispensa (Waiver) a ser determinada por el BIRF de tiempo en tiempo.</t>
    </r>
  </si>
  <si>
    <t>D.S. Nº 233-2017-EF</t>
  </si>
  <si>
    <t>D.S. Nº 236-2017-EF</t>
  </si>
  <si>
    <t>Proyecto "Gestión integrada de los recursos hídricos en diez cuencas"</t>
  </si>
  <si>
    <t>Proyecto "Mejoramiento de la Carretera Huánuco-Conococha, Sector: Huánuco - La Unión - Huallanca, Ruta PE - 3N".</t>
  </si>
  <si>
    <t>ANA</t>
  </si>
  <si>
    <t>93/</t>
  </si>
  <si>
    <t>Ambiente</t>
  </si>
  <si>
    <t>D. S. Nº 292-2018-EF</t>
  </si>
  <si>
    <t>Programa “Mejoramiento, Ampliación y Creación del Sistema de Tratamiento de Aguas Residuales en los 7 y 3 (respectivamente) Distritos de Tacna y Huánuco"</t>
  </si>
  <si>
    <t>D.S. Nº 254-2018-EF</t>
  </si>
  <si>
    <t>“Programa de Apoyo al NAMA de Transporte Urbano Sostenible en el Perú I”</t>
  </si>
  <si>
    <t>MEF
DGETP/UCCTF</t>
  </si>
  <si>
    <t>D.S. Nº 074-2018-EF</t>
  </si>
  <si>
    <t>D.S. Nº 171-2018-EF</t>
  </si>
  <si>
    <t>D.S. Nº 181-2018-EF</t>
  </si>
  <si>
    <t>D.S. Nº 201-2018-EF</t>
  </si>
  <si>
    <t>D.S. Nº 207-2018-EF</t>
  </si>
  <si>
    <t>D.S. Nº 218-2018-EF</t>
  </si>
  <si>
    <t>D. S. Nº 314-2018-EF</t>
  </si>
  <si>
    <t>D. S. Nº 316-2018-EF</t>
  </si>
  <si>
    <t>D. S. Nº 319-2018-EF</t>
  </si>
  <si>
    <t>D. S. Nº 320-2018-EF</t>
  </si>
  <si>
    <t>D. S. Nº 333-2018-EF</t>
  </si>
  <si>
    <t>D. S. Nº 346-2018-EF</t>
  </si>
  <si>
    <t>D. S. Nº 315-2018-EF</t>
  </si>
  <si>
    <t>D. S. Nº 347-2018-EF</t>
  </si>
  <si>
    <t>Proyectos "Mejoramiento de la gestión de la inversión pública" y "Mejoramiento de la capacidad para la generación de conocimiento y mejora continua en la gestión de la contratación pública".</t>
  </si>
  <si>
    <t>MEF-UCCTF</t>
  </si>
  <si>
    <t>MVCS - PNSR</t>
  </si>
  <si>
    <t>Proyecto “Mejoramiento y Ampliación de los Servicios de Soporte para la Provisión de los Servicios a los Ciudadanos y las Empresas, a Nivel Nacional”.</t>
  </si>
  <si>
    <t>SENASA</t>
  </si>
  <si>
    <t>Programa de Recuperación de Áreas Degradadas por Residuos Sólidos en Zonas Prioritarias</t>
  </si>
  <si>
    <t>Proyecto de Mejoramiento de los Servicios de Control Gubernamental para un Control Efectivo, Preventivo y Facilitador de la Gestión Pública.</t>
  </si>
  <si>
    <t>Programa de Inversión “Modernización de la Prestación de los Servicios de Agua Potable y Saneamiento de las EPS EMAPACOP, SEDACUSCO, SEDAPAR, SEMAPA Barranca, EMAPA Huaral y EMAPA Huacho”</t>
  </si>
  <si>
    <t>MVCS/
PNSU-OTASS</t>
  </si>
  <si>
    <t>RENIEC</t>
  </si>
  <si>
    <t>Programa de Inversión “Creación de Redes Integradas de Salud”.</t>
  </si>
  <si>
    <t>Proyecto “Mejoramiento de los Servicios de Apoyo al Aprovechamiento Sostenible de la Biodiversidad de los Ecosistemas en el Paisaje Forestal en los Distritos de Raimondi – Distrito de Sepahua – Distrito de Tahuanía - Provincia de Atalaya - Región Ucayali”.</t>
  </si>
  <si>
    <t>Proyecto Mejoramiento de los Servicios de Recaudación Tributaria y Aduanera a través de la Transformación Digital.</t>
  </si>
  <si>
    <t>05 años</t>
  </si>
  <si>
    <t>08 años</t>
  </si>
  <si>
    <t>06 años</t>
  </si>
  <si>
    <t>10,5 años</t>
  </si>
  <si>
    <t>04 años</t>
  </si>
  <si>
    <t>5,5 años</t>
  </si>
  <si>
    <t>03 años</t>
  </si>
  <si>
    <t>4,5 años</t>
  </si>
  <si>
    <t>94/</t>
  </si>
  <si>
    <t>95/</t>
  </si>
  <si>
    <t>96/</t>
  </si>
  <si>
    <t>97/</t>
  </si>
  <si>
    <t>98/</t>
  </si>
  <si>
    <t>99/</t>
  </si>
  <si>
    <t>100/</t>
  </si>
  <si>
    <t>101/</t>
  </si>
  <si>
    <t>102/</t>
  </si>
  <si>
    <t>103/</t>
  </si>
  <si>
    <t>104/</t>
  </si>
  <si>
    <t>105/</t>
  </si>
  <si>
    <t>106/</t>
  </si>
  <si>
    <t>107/</t>
  </si>
  <si>
    <r>
      <rPr>
        <sz val="10"/>
        <rFont val="Arial"/>
        <family val="2"/>
      </rPr>
      <t xml:space="preserve"> 2 años</t>
    </r>
    <r>
      <rPr>
        <b/>
        <sz val="10"/>
        <color indexed="10"/>
        <rFont val="Arial"/>
        <family val="2"/>
      </rPr>
      <t xml:space="preserve"> 92/</t>
    </r>
  </si>
  <si>
    <r>
      <rPr>
        <b/>
        <sz val="10"/>
        <color indexed="10"/>
        <rFont val="Arial"/>
        <family val="2"/>
      </rPr>
      <t>86/</t>
    </r>
    <r>
      <rPr>
        <sz val="10"/>
        <rFont val="Arial"/>
        <family val="2"/>
      </rPr>
      <t xml:space="preserve"> Tasa de interés nominal anual fijada en la fecha de emisión.</t>
    </r>
  </si>
  <si>
    <r>
      <rPr>
        <b/>
        <sz val="10"/>
        <color indexed="10"/>
        <rFont val="Arial"/>
        <family val="2"/>
      </rPr>
      <t>87/</t>
    </r>
    <r>
      <rPr>
        <b/>
        <sz val="10"/>
        <rFont val="Arial"/>
        <family val="2"/>
      </rPr>
      <t xml:space="preserve"> </t>
    </r>
    <r>
      <rPr>
        <sz val="10"/>
        <rFont val="Arial"/>
        <family val="2"/>
      </rPr>
      <t xml:space="preserve">Se amortizará de acuerdo a las características de la  serie emitida. </t>
    </r>
  </si>
  <si>
    <r>
      <rPr>
        <b/>
        <sz val="10"/>
        <color indexed="10"/>
        <rFont val="Arial"/>
        <family val="2"/>
      </rPr>
      <t>88/</t>
    </r>
    <r>
      <rPr>
        <b/>
        <sz val="10"/>
        <rFont val="Arial"/>
        <family val="2"/>
      </rPr>
      <t xml:space="preserve"> </t>
    </r>
    <r>
      <rPr>
        <sz val="10"/>
        <rFont val="Arial"/>
        <family val="2"/>
      </rPr>
      <t>El préstamo será cancelado en una cuota que vencerá el 15/10/2025.</t>
    </r>
  </si>
  <si>
    <r>
      <rPr>
        <b/>
        <sz val="10"/>
        <color indexed="10"/>
        <rFont val="Arial"/>
        <family val="2"/>
      </rPr>
      <t>89/</t>
    </r>
    <r>
      <rPr>
        <b/>
        <sz val="10"/>
        <rFont val="Arial"/>
        <family val="2"/>
      </rPr>
      <t xml:space="preserve"> </t>
    </r>
    <r>
      <rPr>
        <sz val="10"/>
        <rFont val="Arial"/>
        <family val="2"/>
      </rPr>
      <t>El préstamo será cancelado en dos (02) cuotas que vencerán el 15/04/2025 y 15/10/2025.</t>
    </r>
  </si>
  <si>
    <r>
      <rPr>
        <b/>
        <sz val="10"/>
        <color indexed="10"/>
        <rFont val="Arial"/>
        <family val="2"/>
      </rPr>
      <t>90/</t>
    </r>
    <r>
      <rPr>
        <b/>
        <sz val="10"/>
        <rFont val="Arial"/>
        <family val="2"/>
      </rPr>
      <t xml:space="preserve"> </t>
    </r>
    <r>
      <rPr>
        <sz val="10"/>
        <rFont val="Arial"/>
        <family val="2"/>
      </rPr>
      <t>La tasa aplicable para los primeros 16 pagos semestrales de intereses es tasa Libor a 6M+1,45% anual, aplicable por la CAF de acuerdo a su politica de operaciones.</t>
    </r>
  </si>
  <si>
    <r>
      <rPr>
        <b/>
        <sz val="10"/>
        <color indexed="10"/>
        <rFont val="Arial"/>
        <family val="2"/>
      </rPr>
      <t>91/</t>
    </r>
    <r>
      <rPr>
        <b/>
        <sz val="10"/>
        <rFont val="Arial"/>
        <family val="2"/>
      </rPr>
      <t xml:space="preserve"> </t>
    </r>
    <r>
      <rPr>
        <sz val="10"/>
        <rFont val="Arial"/>
        <family val="2"/>
      </rPr>
      <t>El préstamo será cancelado en una (01)) cuota que vencerá el 15/10/2027.</t>
    </r>
  </si>
  <si>
    <r>
      <rPr>
        <b/>
        <sz val="10"/>
        <color indexed="10"/>
        <rFont val="Arial"/>
        <family val="2"/>
      </rPr>
      <t>92/</t>
    </r>
    <r>
      <rPr>
        <sz val="10"/>
        <rFont val="Arial"/>
        <family val="2"/>
      </rPr>
      <t>Cuotas semestrales que vencen el 15/10/2022, 15/04/2023, 15/10/2023, 15/04/2024.</t>
    </r>
  </si>
  <si>
    <r>
      <rPr>
        <b/>
        <sz val="10"/>
        <color indexed="10"/>
        <rFont val="Arial"/>
        <family val="2"/>
      </rPr>
      <t>93/</t>
    </r>
    <r>
      <rPr>
        <b/>
        <sz val="10"/>
        <rFont val="Arial"/>
        <family val="2"/>
      </rPr>
      <t xml:space="preserve"> </t>
    </r>
    <r>
      <rPr>
        <sz val="10"/>
        <rFont val="Arial"/>
        <family val="2"/>
      </rPr>
      <t>El préstamo será cancelado en una cuota que vencerá el 15/04/2027.</t>
    </r>
  </si>
  <si>
    <r>
      <rPr>
        <b/>
        <sz val="10"/>
        <color indexed="10"/>
        <rFont val="Arial"/>
        <family val="2"/>
      </rPr>
      <t>94/</t>
    </r>
    <r>
      <rPr>
        <b/>
        <sz val="10"/>
        <rFont val="Arial"/>
        <family val="2"/>
      </rPr>
      <t xml:space="preserve"> </t>
    </r>
    <r>
      <rPr>
        <sz val="10"/>
        <rFont val="Arial"/>
        <family val="2"/>
      </rPr>
      <t>El préstamo será cancelado en cuatro (04) cuotas que vencerán el 15/04/2029, 15/10/2029, 15/04/2030 y 15/10/2030.</t>
    </r>
  </si>
  <si>
    <r>
      <rPr>
        <b/>
        <sz val="10"/>
        <color indexed="10"/>
        <rFont val="Arial"/>
        <family val="2"/>
      </rPr>
      <t>95/</t>
    </r>
    <r>
      <rPr>
        <b/>
        <sz val="10"/>
        <rFont val="Arial"/>
        <family val="2"/>
      </rPr>
      <t xml:space="preserve"> </t>
    </r>
    <r>
      <rPr>
        <sz val="10"/>
        <rFont val="Arial"/>
        <family val="2"/>
      </rPr>
      <t>El préstamo será cancelado en tres (03) cuotas de 10%, 10% y 80%, que vencerán el 15/11/2026, 15/05/2027, y 15/11/2027, respectivamente.</t>
    </r>
  </si>
  <si>
    <r>
      <rPr>
        <b/>
        <sz val="10"/>
        <color indexed="10"/>
        <rFont val="Arial"/>
        <family val="2"/>
      </rPr>
      <t>96/</t>
    </r>
    <r>
      <rPr>
        <b/>
        <sz val="10"/>
        <rFont val="Arial"/>
        <family val="2"/>
      </rPr>
      <t xml:space="preserve"> </t>
    </r>
    <r>
      <rPr>
        <sz val="10"/>
        <rFont val="Arial"/>
        <family val="2"/>
      </rPr>
      <t>El préstamo será cancelado en dos (02) cuotas que vencerán el 15/12/2029 y el 15/12/2030.</t>
    </r>
  </si>
  <si>
    <r>
      <rPr>
        <b/>
        <sz val="10"/>
        <color indexed="10"/>
        <rFont val="Arial"/>
        <family val="2"/>
      </rPr>
      <t>97/</t>
    </r>
    <r>
      <rPr>
        <b/>
        <sz val="10"/>
        <rFont val="Arial"/>
        <family val="2"/>
      </rPr>
      <t xml:space="preserve"> </t>
    </r>
    <r>
      <rPr>
        <sz val="10"/>
        <rFont val="Arial"/>
        <family val="2"/>
      </rPr>
      <t>El préstamo será cancelado en seis (06) cuotas: el 27% el 15/041/2024, 27% el 15/10/2024, 7% el 15/04/2025, 7% el 15/10/2025, 20% el 15/04/2026 y 12% el 15/10/2026.</t>
    </r>
  </si>
  <si>
    <r>
      <rPr>
        <b/>
        <sz val="10"/>
        <color indexed="10"/>
        <rFont val="Arial"/>
        <family val="2"/>
      </rPr>
      <t>98/</t>
    </r>
    <r>
      <rPr>
        <b/>
        <sz val="10"/>
        <rFont val="Arial"/>
        <family val="2"/>
      </rPr>
      <t xml:space="preserve"> </t>
    </r>
    <r>
      <rPr>
        <sz val="10"/>
        <rFont val="Arial"/>
        <family val="2"/>
      </rPr>
      <t>El préstamo será cancelado en seis (06) cuotas: 10% el 15/04/2027, 10% el 15/10/2027, 25% el 15/04/2029, 25% el 15/10/2029, 15% el 15/04/2030 y 15% el 15/10/2030.</t>
    </r>
  </si>
  <si>
    <r>
      <rPr>
        <b/>
        <sz val="10"/>
        <color indexed="10"/>
        <rFont val="Arial"/>
        <family val="2"/>
      </rPr>
      <t>99/</t>
    </r>
    <r>
      <rPr>
        <b/>
        <sz val="10"/>
        <rFont val="Arial"/>
        <family val="2"/>
      </rPr>
      <t xml:space="preserve"> </t>
    </r>
    <r>
      <rPr>
        <sz val="10"/>
        <rFont val="Arial"/>
        <family val="2"/>
      </rPr>
      <t>El préstamo será cancelado en una (01) cuota que vence el 15/12/2025.</t>
    </r>
  </si>
  <si>
    <r>
      <rPr>
        <b/>
        <sz val="10"/>
        <color indexed="10"/>
        <rFont val="Arial"/>
        <family val="2"/>
      </rPr>
      <t>100/</t>
    </r>
    <r>
      <rPr>
        <b/>
        <sz val="10"/>
        <rFont val="Arial"/>
        <family val="2"/>
      </rPr>
      <t xml:space="preserve"> </t>
    </r>
    <r>
      <rPr>
        <sz val="10"/>
        <rFont val="Arial"/>
        <family val="2"/>
      </rPr>
      <t xml:space="preserve">El préstamo será cancelado mediante cuotas semestrales y consecutivas, venciendo la primera cuota el 15.05.2025 y la última el 15.11.2027 </t>
    </r>
  </si>
  <si>
    <r>
      <rPr>
        <b/>
        <sz val="10"/>
        <color indexed="10"/>
        <rFont val="Arial"/>
        <family val="2"/>
      </rPr>
      <t>101/</t>
    </r>
    <r>
      <rPr>
        <b/>
        <sz val="10"/>
        <rFont val="Arial"/>
        <family val="2"/>
      </rPr>
      <t xml:space="preserve"> </t>
    </r>
    <r>
      <rPr>
        <sz val="10"/>
        <rFont val="Arial"/>
        <family val="2"/>
      </rPr>
      <t>El préstamo será cancelado mediante cuotas semestrales y consecutivas, en los siguientes porcentajes del monto del préstamo y fechas: 15% el 15 de junio de 2022, 15% el 15 de diciembre de 2022, 15% el 15 de junio de 2023, 15% 15 de diciembre de 2023, 10% 15 de junio de 2024, 10% 15 de diciembre de 2024, 10% 15 de junio de 2025 y 10% 15 de diciembre de 2025.</t>
    </r>
  </si>
  <si>
    <r>
      <rPr>
        <b/>
        <sz val="10"/>
        <color indexed="10"/>
        <rFont val="Arial"/>
        <family val="2"/>
      </rPr>
      <t>102/</t>
    </r>
    <r>
      <rPr>
        <b/>
        <sz val="10"/>
        <rFont val="Arial"/>
        <family val="2"/>
      </rPr>
      <t xml:space="preserve"> </t>
    </r>
    <r>
      <rPr>
        <sz val="10"/>
        <rFont val="Arial"/>
        <family val="2"/>
      </rPr>
      <t>El préstamo será cancelado mediante tres cuotas semestrales y consecutivas en los siguientes porcentajes del monto del préstamo y fechas: 35% el 15 de noviembre de 2029, 35% el 15 de mayo de 2030, y 30% el 15 de noviembre de 2030.</t>
    </r>
  </si>
  <si>
    <r>
      <rPr>
        <b/>
        <sz val="10"/>
        <color indexed="10"/>
        <rFont val="Arial"/>
        <family val="2"/>
      </rPr>
      <t>103/</t>
    </r>
    <r>
      <rPr>
        <b/>
        <sz val="10"/>
        <rFont val="Arial"/>
        <family val="2"/>
      </rPr>
      <t xml:space="preserve"> </t>
    </r>
    <r>
      <rPr>
        <sz val="10"/>
        <rFont val="Arial"/>
        <family val="2"/>
      </rPr>
      <t xml:space="preserve">El préstamo será cancelado en una cuota que vence el 15/12/2027. </t>
    </r>
  </si>
  <si>
    <r>
      <rPr>
        <b/>
        <sz val="10"/>
        <color indexed="10"/>
        <rFont val="Arial"/>
        <family val="2"/>
      </rPr>
      <t>104</t>
    </r>
    <r>
      <rPr>
        <sz val="10"/>
        <color indexed="10"/>
        <rFont val="Arial"/>
        <family val="2"/>
      </rPr>
      <t xml:space="preserve">/ </t>
    </r>
    <r>
      <rPr>
        <sz val="10"/>
        <rFont val="Arial"/>
        <family val="2"/>
      </rPr>
      <t>La cancelación de la operación se realizará mediante once (11) cuotas, en los siguientes porcentajes del monto del préstamo y fechas: 12% el 15 mayo de 2025, 12% el 15 de noviembre de 2025, 4% el 15 de mayo de 2026, 4% el 15 de noviembre de 2026, 16% el 15 de mayo de 2027, 16% el 15 de noviembre de 2027, 4% el 15 de mayo de 2028, 4% el 15 de noviembre de 2028, 8% el 15 de mayo de 2029, 8% el 15 de noviembre de 2029, 12% el 15 de mayo de 2030.</t>
    </r>
  </si>
  <si>
    <r>
      <rPr>
        <b/>
        <sz val="10"/>
        <color indexed="10"/>
        <rFont val="Arial"/>
        <family val="2"/>
      </rPr>
      <t>105/</t>
    </r>
    <r>
      <rPr>
        <b/>
        <sz val="10"/>
        <rFont val="Arial"/>
        <family val="2"/>
      </rPr>
      <t xml:space="preserve"> </t>
    </r>
    <r>
      <rPr>
        <sz val="10"/>
        <rFont val="Arial"/>
        <family val="2"/>
      </rPr>
      <t>El préstamo será cancelado  mediante cuotas semestrales, en los siguientes porcentajes del monto del préstamo y fechas: 4% el 15 diciembre 2024, 24% el 15 de junio de junio de 2025, 20% el 15 de diciembre de 2025, 4% el 15 de junio de 2026, 4% el 15 de diciembre de 2026, 12% el 15 de junio de 2027, 12% el 15 de diciembre de 2027, 8% el 15 de junio de 2028, 4% el 15 de diciembre de 2028 y 8% el 15 de junio de 2029.</t>
    </r>
  </si>
  <si>
    <r>
      <rPr>
        <b/>
        <sz val="10"/>
        <color indexed="10"/>
        <rFont val="Arial"/>
        <family val="2"/>
      </rPr>
      <t>106/</t>
    </r>
    <r>
      <rPr>
        <b/>
        <sz val="10"/>
        <rFont val="Arial"/>
        <family val="2"/>
      </rPr>
      <t xml:space="preserve"> </t>
    </r>
    <r>
      <rPr>
        <sz val="10"/>
        <rFont val="Arial"/>
        <family val="2"/>
      </rPr>
      <t>El préstamo será cancelado mediante cuotas semestrales y consecutivas, venciendo la primera cuota el 15 de mayo de 2029 y la última el 15 de noviembre de 2058. El monto de cada cuota será: i) las primeras 20 cuotas de amortización serán por un monto equivalente al 1% del saldo deudor del préstamo, y i) las siguientes 40 cuotas serán por un monto equivalente al 2% del saldo deudor del préstamo.</t>
    </r>
  </si>
  <si>
    <r>
      <rPr>
        <b/>
        <sz val="10"/>
        <color indexed="10"/>
        <rFont val="Arial"/>
        <family val="2"/>
      </rPr>
      <t>107/</t>
    </r>
    <r>
      <rPr>
        <b/>
        <sz val="10"/>
        <rFont val="Arial"/>
        <family val="2"/>
      </rPr>
      <t xml:space="preserve"> </t>
    </r>
    <r>
      <rPr>
        <sz val="10"/>
        <rFont val="Arial"/>
        <family val="2"/>
      </rPr>
      <t>El préstamo será cancelado mediante cuotas semestrales y consecutivas, venciendo la primera cuota el 15 de marzo de 2025 y la última el 15 de setiembre de 2027.</t>
    </r>
  </si>
  <si>
    <r>
      <rPr>
        <b/>
        <sz val="10"/>
        <color rgb="FFFF0000"/>
        <rFont val="Arial"/>
        <family val="2"/>
      </rPr>
      <t>108/</t>
    </r>
    <r>
      <rPr>
        <sz val="10"/>
        <rFont val="Arial"/>
        <family val="2"/>
      </rPr>
      <t xml:space="preserve"> Las primeras 20 cuotas de amortización serán por un monto equivalente al 1% del saldo deudor del préstamo, y las siguientes 40 cuotas serán por un monto equivalente al 2% del saldo deudor del préstamo.</t>
    </r>
  </si>
  <si>
    <r>
      <rPr>
        <b/>
        <sz val="10"/>
        <color rgb="FFFF0000"/>
        <rFont val="Arial"/>
        <family val="2"/>
      </rPr>
      <t>109/</t>
    </r>
    <r>
      <rPr>
        <sz val="10"/>
        <rFont val="Arial"/>
        <family val="2"/>
      </rPr>
      <t xml:space="preserve"> El prestamo sera cancelado mediante cuotas semestrales y consecutivas, venciendo la primera cuota a los 10 años y 6 meses contados a partir de la fecha de suscripción del contrato de prestamo, y la ultima, a mas tardar, a los 40 años contados a partir de esa misma fecha.</t>
    </r>
  </si>
  <si>
    <t>Mejoramiento del Saneamiento Básico para Ciudad de Trujillo</t>
  </si>
  <si>
    <t xml:space="preserve">Proy. Manejo de Recursos Naturales </t>
  </si>
  <si>
    <t>Prog. Atención a la Emergencia por Terremo 23-6-01</t>
  </si>
  <si>
    <t>Prog. de Apoyo Emergencia a la Zona Sur</t>
  </si>
  <si>
    <t>Prog. Multisect. de Inversión Pública 2001-2002</t>
  </si>
  <si>
    <t xml:space="preserve"> Prog. Agroamb. Jaén San Ignacio Bagua</t>
  </si>
  <si>
    <t xml:space="preserve"> Prog. Multisect. de Invers. Pública 2002</t>
  </si>
  <si>
    <t xml:space="preserve"> Terc. Etapa Prog. Apoyo a Operac. FONCODES</t>
  </si>
  <si>
    <t xml:space="preserve">  Prog. Nacional de Agua y Saneam. Rural</t>
  </si>
  <si>
    <t xml:space="preserve">  Inicio de prepar. Prést. Programático de Reforma Social III</t>
  </si>
  <si>
    <t xml:space="preserve">  Prog. Para Desarr. Políticas Comercio Exterior.</t>
  </si>
  <si>
    <t xml:space="preserve">  Fort. Inst. Gob. Peruano-Comunidad Andina</t>
  </si>
  <si>
    <t xml:space="preserve">  Prog. Desarrollo del Sector Transporte</t>
  </si>
  <si>
    <t xml:space="preserve">  Apoyo para mejorar la Oferta Productiva y Facilitar Comercio Exterior</t>
  </si>
  <si>
    <t xml:space="preserve">  Proyecto de Educación en Areas Rurales</t>
  </si>
  <si>
    <t xml:space="preserve">  Primer Préstamo de Ajuste Estructural Prog. de Descen</t>
  </si>
  <si>
    <t>Prog. "Linea de Créd. para Pequeñas Microemp. a través de Fcto Créd. Subordinados II"</t>
  </si>
  <si>
    <t>"Prog. Mejor. y Ampliación de los Servicios de Agua Potab. y Alcantar. de Tumbes"</t>
  </si>
  <si>
    <t>"Fortalec. Merca. Diversificados de los Ingresos y Mejoramiento de la Condición de vida en la Sierra Sur"</t>
  </si>
  <si>
    <t>Préstamo para el Desarrollo de políticas de Descentralización y Competitividad III</t>
  </si>
  <si>
    <t>Facilidad Sectorial Instit. para Mejora de la Calidad de la Gestión y del Gto. Público</t>
  </si>
  <si>
    <t>Programa de Caminos Departamentales</t>
  </si>
  <si>
    <t>Proyecto Control y Erradicación de la Mosca de la Fruta en la Costa peruana</t>
  </si>
  <si>
    <t>Programa Ampliación del Proyecto Subsectorial de Irrigación</t>
  </si>
  <si>
    <t>Programa Mejoramiento de electrificación rural mediante la aplicación de fondos concursables</t>
  </si>
  <si>
    <t>Programa de Ciencia y Tecnología</t>
  </si>
  <si>
    <t xml:space="preserve">Prog. para la gestión ambiental y social de los impactos indirectos del corredor vial Interoceanica Sur </t>
  </si>
  <si>
    <t>Rehabilitación Integral del ferrocarril Huancayo-Huancavelica - Com. I Rehabilit. Infraestruct. Ferrov.</t>
  </si>
  <si>
    <t>Recuperación de la Capacidad de Transmisión de la Televisión Estatal</t>
  </si>
  <si>
    <t>Remotoriz. y Moderniz. del Buque de Investigación Cientifica (BIC) Humboldt</t>
  </si>
  <si>
    <t>Programa de Estudios de Preinversión Región Fronteriza con el Ecuador</t>
  </si>
  <si>
    <t>Préstamo Programático Gestión Fiscal y Crecimiento Económico</t>
  </si>
  <si>
    <t>Programa de Mejoramiento del Nivel de Transitabilidad de la Red Vial Nacional</t>
  </si>
  <si>
    <t>FAPEP del Programa Modernización del Sistema de Administración de Justicia</t>
  </si>
  <si>
    <t>Obras faltantes de los tramos 2, 3 y 4 del Proy. Corredor Vial Interoceánico Perú-Brasil (IIRSA Sur)</t>
  </si>
  <si>
    <t>Programa de Ampliación de la frontera Eléctrica III Etapa - PAFE III - Dpto. de Loreto</t>
  </si>
  <si>
    <t>Proyecto "Optimización Sistemas de Agua Potable y Alcantarillado: Sectorización, Rehabilitación  Redes y Actualización Catastro – Área Influencia P. Huachipa – Área Drenaje Comas-Chillón-Lima”</t>
  </si>
  <si>
    <t>Proyecto "Optimización de Sistemas de Agua Potable y Alcantarillado: Sectorización, Rehabilitación de Redes y Actualización de Catastro – Área de Influencia Planta Huachipa – Área de Drenaje Comas-Chillón-Lima”</t>
  </si>
  <si>
    <t>Segunda Fase de Programa de Apoyo a la reforma del sector Salud - PARSALUD II</t>
  </si>
  <si>
    <t>Programa de Reforma de los Sectores Sociales II</t>
  </si>
  <si>
    <t>Proyecto "Fortalecimiento de los Mercados, Diversificación de los Ingresos y Mejoramiento de la Condiciones de Vida en la Sierra Sur del Perú - II"</t>
  </si>
  <si>
    <t>Cierre de Brechas en productos priorizados por el Programa Estratégico Articulado Nutricional</t>
  </si>
  <si>
    <t>Proyecto Sistema Eléctrico de Transporte Masivo de Lima y Callao, Línea 1-Tramo 2 -Av. Grau - S.J. Lurigancho</t>
  </si>
  <si>
    <t>Programa "Optim. Sist. Agua Potable y Alcantar. Área Influencia Huachipa y Áreas del Drenaje de los Colectores Comas y Chillón - Fortalecimiento de Capacidades de Gestión en Lima Metropolitana".</t>
  </si>
  <si>
    <t>Programa de Desarrollo de Sist. de Gestión de Residuos Sólidos en Zonas Prioritarias de Puno, Piura, Ancash, Tumbes, Apurímac, Ica, Huánuco, Puerto Maldonado, San Martín, Junín, Lambayeque, Loreto, Ayacucho, Amazonas, Lima y Pasco</t>
  </si>
  <si>
    <t>Programa "Mejoramiento de la educación Inicial en Ayacucho, Huancavelica y Huánuco"</t>
  </si>
  <si>
    <t>Programa "Establecimiento de las Bases para el Desarrollo Rural a través del Turismo en el Corredor Turístico del Valle del Uctubamba, Sector Pedro Ruiz- Leymebamba, Región Amazonas".</t>
  </si>
  <si>
    <t>"Programa de Desarrollo de Sist. de Gestión de Residuos Sólidos en Zonas Prioritarias de Puno, Piura, Ancash, Tumbes, Apurímac, Ica, Huánuco, Puerto Maldonado, San Martín, Junín, Lambayeque, Loreto, Ayacucho, Amazonas, Lima y Pasco"</t>
  </si>
  <si>
    <t>Proyecto Innovación para la Competitividad</t>
  </si>
  <si>
    <t>Proyecto Mejoramiento de la Gestión de la Inversión Pública Territorial</t>
  </si>
  <si>
    <t>Proyecto Fortalecimiento del Desarrollo Local en Áreas de la Sierra y Selva Alta del Perú</t>
  </si>
  <si>
    <t>Proyecto "Esquema Cajamarquilla, Nieveria y Cerro Camote - Ampliación de los Sistemas de Agua Potable y Alcantarillado de los Sectores 129, 130, 131, 132, 133, 134 y  135 - Distrito de Lurigancho y San Antonio de Huarochiri".</t>
  </si>
  <si>
    <t>Programa de Riego y Manejo de Recursos Hidricos en la Sub Region Chanka - Apurímac</t>
  </si>
  <si>
    <t>Programa de Reforma de Gestión Municipal I</t>
  </si>
  <si>
    <t>Proyecto "Instalación de las centrales hidroeléctricas Moquegua 1 y 3"</t>
  </si>
  <si>
    <t>Programa "Consolidación y Diversificación del Producto Turístico Cusco-Valle Sagrado de Los Incas, entre las Provincias del Cusco, Calca y Urubamba de la Región Cusco"</t>
  </si>
  <si>
    <t>Proyecto Construcción de la Línea 2 y Ramal Av. Faucett - Gambetta de la Red Básica del Metro de Lima y Callao Provincias de Lima y Callao, Departamento de Lima</t>
  </si>
  <si>
    <t>Proyecto "Mejoramiento de los servicios de facilitación del comercio exterior a través de la Ventanilla Única del Comercio Exterior (VUCE). Segunda Etapa - San Isidro - Lima - Lima"</t>
  </si>
  <si>
    <t>Proyecto "Mejoramiento de los servicios públicos para el desarrollo territorial sostenible en el área de Influencia de los ríos Apurímac, Ene, y Mantaro: Proyecto de desarrollo territorial sostenible".</t>
  </si>
  <si>
    <t>Programa Integral de Agua y Saneamiento Rural – PIASAR.</t>
  </si>
  <si>
    <t>Programa para la Mejora de la Calidad y Pertinencia de los Servicios de Educación Superior Universitaria y Tecnológica a Nivel Nacional</t>
  </si>
  <si>
    <t>Programa de Desarrollo de la Sanidad Agraria y la Inocuidad Agroalimentaria - Fase II</t>
  </si>
  <si>
    <t>Proyecto “Mejoramiento del acceso a los Servicios de Registros Civiles e Identificación de Calidad a Nivel Nacional”</t>
  </si>
  <si>
    <t>Programa de Acompañamiento a las Reformas para Incrementar la Productividad en el Perú</t>
  </si>
  <si>
    <t>Programa de Apoyo a las Medidas de Ampliación de la Base Tributaria y Fomento a la Inversión</t>
  </si>
  <si>
    <t xml:space="preserve">D.S. 337-90-EF </t>
  </si>
  <si>
    <t xml:space="preserve">D.S. 336-90-EF </t>
  </si>
  <si>
    <t>Bco. do Brasil - CACEX</t>
  </si>
  <si>
    <t>Importación de trigo - PL 480</t>
  </si>
  <si>
    <t>Prog. de Crédito Global</t>
  </si>
  <si>
    <r>
      <t xml:space="preserve">Defensa Nacional  </t>
    </r>
    <r>
      <rPr>
        <sz val="10"/>
        <color indexed="10"/>
        <rFont val="Arial"/>
        <family val="2"/>
      </rPr>
      <t>1/</t>
    </r>
  </si>
  <si>
    <r>
      <t xml:space="preserve">Defensa Nacional   </t>
    </r>
    <r>
      <rPr>
        <sz val="10"/>
        <color indexed="10"/>
        <rFont val="Arial"/>
        <family val="2"/>
      </rPr>
      <t>1/</t>
    </r>
  </si>
  <si>
    <r>
      <t xml:space="preserve">D.LEG. 628    </t>
    </r>
    <r>
      <rPr>
        <sz val="10"/>
        <color indexed="10"/>
        <rFont val="Arial"/>
        <family val="2"/>
      </rPr>
      <t>2/</t>
    </r>
  </si>
  <si>
    <t>D.S. 201-91-EF</t>
  </si>
  <si>
    <t>D.S. 217-91-EF</t>
  </si>
  <si>
    <t>D.S. 227-91-EF</t>
  </si>
  <si>
    <t>D.S. 232-91-EF</t>
  </si>
  <si>
    <t>D.S. 275-91-EF</t>
  </si>
  <si>
    <t>D.S. 274-91-EF</t>
  </si>
  <si>
    <t>D.S. 309-91-EF</t>
  </si>
  <si>
    <t>Banco América Do Sul S.A.</t>
  </si>
  <si>
    <t>Prog. Sector Financiero, Cofinanciamiento BID</t>
  </si>
  <si>
    <t>Republica China</t>
  </si>
  <si>
    <t>Prog. Ajuste Estructural</t>
  </si>
  <si>
    <t>Prog. Agua Potable y Alcantarillado de Arequipa</t>
  </si>
  <si>
    <t xml:space="preserve">Abastecimiento Agua Cusco </t>
  </si>
  <si>
    <t>Reequi. Instit. Nacional de Salud del Niño</t>
  </si>
  <si>
    <t>Reequi. Hosp. Nacional Arzobispo Loayza</t>
  </si>
  <si>
    <t>Prep. Proy. Mejoram. Calidad Educación</t>
  </si>
  <si>
    <t>Prog. Capacit. Laboral Juvenil</t>
  </si>
  <si>
    <t>Proy. Manejo de Recursos Naturales para el Aliv. Pobreza</t>
  </si>
  <si>
    <t>Rehab. Serv. Generales Hosp. Macroregionales</t>
  </si>
  <si>
    <t>Proy.de Manejo de Rec. Nat.para el alivio de Pobreza</t>
  </si>
  <si>
    <t>Prog.Sectorial Transp. Y Refor. Polit.Soci y de Justicia</t>
  </si>
  <si>
    <t>Prog. Nacion.de Infraestructura Rural de Transporte</t>
  </si>
  <si>
    <t xml:space="preserve"> Proy. Agua Pot .y Alcant. de la Ciudad de Huancavelica</t>
  </si>
  <si>
    <t xml:space="preserve">  Prog. Fortalec. Inst. Apoyo Gestión Ambiental Gas de Camisea</t>
  </si>
  <si>
    <t xml:space="preserve">  Prepar. Programa Moder. y Descent. del Estado</t>
  </si>
  <si>
    <t xml:space="preserve">  Prog. Fortalecimiento Instituc. del Congreso</t>
  </si>
  <si>
    <t xml:space="preserve">  Prep. Prog. Consol. Democrática Seguridad Ciudadana</t>
  </si>
  <si>
    <t xml:space="preserve">  Prog. de Apoyo a la Compet. Gobernab. e Inv. Social</t>
  </si>
  <si>
    <t>"Moderniz. de la CGR y Descentraliz.Sistema Nacional de Control"</t>
  </si>
  <si>
    <t>Prést. para el Des. Políticas de Descentraliz. y Competitiv. III" (prog. Apoyo Proc. Descentraliz. II)</t>
  </si>
  <si>
    <t>Programa de Desarrollo Agroambiental en al ceja de Selva- Construcción del Sistema Irrigación Ponaza-Distrito de Tingo de Ponaza - Provincia de Picota - Departamento de San Martín</t>
  </si>
  <si>
    <t>Programa de Apoyo al Transporte Subnacional - PATS</t>
  </si>
  <si>
    <t>MVCS/
PNSU</t>
  </si>
  <si>
    <t>MTC/
Provías Nacional</t>
  </si>
  <si>
    <t>PCM/
CONCYTEC</t>
  </si>
  <si>
    <t>MINAM/
OEFA</t>
  </si>
  <si>
    <t>Financiar la Ejecucion del Proy. Peq. Empresa</t>
  </si>
  <si>
    <t>Sistemas Agua y Alcantarillado Piura, Castilla y Chimbote</t>
  </si>
  <si>
    <t>Adq. 85% Equipo, Maquinaria, Bs y/o Ss Japoneses</t>
  </si>
  <si>
    <t>Prog. de Reforma de Salud-Primera fase</t>
  </si>
  <si>
    <t>Monto en US$</t>
  </si>
  <si>
    <t>Monto
Original</t>
  </si>
  <si>
    <t>Período 
de Gracia</t>
  </si>
  <si>
    <t>Tasa de 
Interés</t>
  </si>
  <si>
    <t>Unidad Ejecutora / 
Emisor</t>
  </si>
  <si>
    <t>Dispositivo 
Legal</t>
  </si>
  <si>
    <t>Fecha de 
Publicación</t>
  </si>
  <si>
    <r>
      <t xml:space="preserve">Libor 6 M+ 2,35% </t>
    </r>
    <r>
      <rPr>
        <b/>
        <sz val="10"/>
        <color indexed="10"/>
        <rFont val="Arial"/>
        <family val="2"/>
      </rPr>
      <t>73/</t>
    </r>
  </si>
  <si>
    <t>LIBOR - 2% ú 8%</t>
  </si>
  <si>
    <t>Libor + 2%</t>
  </si>
  <si>
    <t>0,75% - 3%</t>
  </si>
  <si>
    <t>0.75% - 2.0%</t>
  </si>
  <si>
    <t xml:space="preserve">  2.3% - 2.7%</t>
  </si>
  <si>
    <t xml:space="preserve">  2.1% - 2.5%</t>
  </si>
  <si>
    <t>2 % - 3%</t>
  </si>
  <si>
    <t>0,75% - 2%</t>
  </si>
  <si>
    <t>Libor + 2.45%</t>
  </si>
  <si>
    <t>Libor + 0,75%</t>
  </si>
  <si>
    <t>Libor + 1,9%</t>
  </si>
  <si>
    <t xml:space="preserve">LIB.6M + 1% </t>
  </si>
  <si>
    <t xml:space="preserve">1,7% - 0,75% </t>
  </si>
  <si>
    <t>1,7% - 0,75%</t>
  </si>
  <si>
    <t>2,2% - 0,75%</t>
  </si>
  <si>
    <t>LIB.6M + 2,50%</t>
  </si>
  <si>
    <t>LIB.6M + 3,1%</t>
  </si>
  <si>
    <t>LIBOR + 4%</t>
  </si>
  <si>
    <t>LIB.6M + 2,8%</t>
  </si>
  <si>
    <t>1.5% - 2.5%</t>
  </si>
  <si>
    <t>2.2% - 0.75%</t>
  </si>
  <si>
    <t>1.7% - 0.75%</t>
  </si>
  <si>
    <t>LIB.6M + 2.8%</t>
  </si>
  <si>
    <t>LIB.6M + 3/4del1%</t>
  </si>
  <si>
    <t>LIB.6M + 3,10%</t>
  </si>
  <si>
    <t>LIB.6M + 3/4del 1%</t>
  </si>
  <si>
    <t>LIB.6M + 3.5 %</t>
  </si>
  <si>
    <t>LIB 6M + 0,75 %</t>
  </si>
  <si>
    <t>LIB 6M + 3,1 %</t>
  </si>
  <si>
    <t>LIB 6M + 3,75 %</t>
  </si>
  <si>
    <t>Lib.6M + 3/4 del 1%</t>
  </si>
  <si>
    <r>
      <t xml:space="preserve">LIB.6M +  </t>
    </r>
    <r>
      <rPr>
        <sz val="10"/>
        <color indexed="10"/>
        <rFont val="Arial"/>
        <family val="2"/>
      </rPr>
      <t xml:space="preserve"> </t>
    </r>
    <r>
      <rPr>
        <b/>
        <sz val="10"/>
        <color indexed="10"/>
        <rFont val="Arial"/>
        <family val="2"/>
      </rPr>
      <t>12/</t>
    </r>
  </si>
  <si>
    <r>
      <t xml:space="preserve">LIB.6M +   </t>
    </r>
    <r>
      <rPr>
        <b/>
        <sz val="10"/>
        <color indexed="10"/>
        <rFont val="Arial"/>
        <family val="2"/>
      </rPr>
      <t>14/</t>
    </r>
  </si>
  <si>
    <r>
      <t xml:space="preserve">LIB.6M -   </t>
    </r>
    <r>
      <rPr>
        <b/>
        <sz val="10"/>
        <color indexed="10"/>
        <rFont val="Arial"/>
        <family val="2"/>
      </rPr>
      <t>14/</t>
    </r>
  </si>
  <si>
    <r>
      <t xml:space="preserve">BID          </t>
    </r>
    <r>
      <rPr>
        <b/>
        <sz val="10"/>
        <color indexed="10"/>
        <rFont val="Arial"/>
        <family val="2"/>
      </rPr>
      <t>13/</t>
    </r>
  </si>
  <si>
    <t>Lib.6M + Marg BIRF</t>
  </si>
  <si>
    <r>
      <t xml:space="preserve">Lib.3M + Marg BID </t>
    </r>
    <r>
      <rPr>
        <b/>
        <sz val="10"/>
        <rFont val="Arial"/>
        <family val="2"/>
      </rPr>
      <t>3/</t>
    </r>
  </si>
  <si>
    <t>Lib.6M + 3.25%</t>
  </si>
  <si>
    <t xml:space="preserve">Lib.3M + Marg BID </t>
  </si>
  <si>
    <t>Lib.6M + Marg  2,9%</t>
  </si>
  <si>
    <t>Lib.3M + Marg BID</t>
  </si>
  <si>
    <t>Lib.6M + Marg BID</t>
  </si>
  <si>
    <t>Libor 6M + margen de 0,80%</t>
  </si>
  <si>
    <t>Libor 3M + Margen BID</t>
  </si>
  <si>
    <t>Libor 6M + Margen Variable BIRF</t>
  </si>
  <si>
    <t>Libor 6M + Margen Fijo BIRF</t>
  </si>
  <si>
    <t>D.S. Nº 411-2019-EF</t>
  </si>
  <si>
    <t>“Programa de Apoyo al NAMA de Transporte Urbano Sostenible en el Perú II”.</t>
  </si>
  <si>
    <t>MEF/DGTP</t>
  </si>
  <si>
    <t>D.S. Nº 213-2019-EF</t>
  </si>
  <si>
    <t>D.S. Nº 336-2019-EF</t>
  </si>
  <si>
    <t>D.S. Nº 050-2020-EF</t>
  </si>
  <si>
    <t>D.S. Nº 114 - 2020-EF</t>
  </si>
  <si>
    <t>D.S. Nº 122 - 2020-EF</t>
  </si>
  <si>
    <t>D.S. Nº 160 - 2020-EF</t>
  </si>
  <si>
    <t>D.S. Nº 161 - 2020-EF</t>
  </si>
  <si>
    <t>D.S. Nº 172 - 2020-EF</t>
  </si>
  <si>
    <t>11.07.2019</t>
  </si>
  <si>
    <t>Proyectos “Mejoramiento de los servicios de apoyo al aprovechamiento sostenible de la biodiversidad de los ecosistemas en el paisaje forestal en el corredor Tarapoto – Yurimaguas, de los Departamentos de San Martín y Loreto”, “Mejoramiento de los servicios de apoyo al aprovechamiento sostenible de la biodiversidad de los ecosistemas en el paisaje forestal en el corredor Puerto Maldonado - Iñapari y en el ámbito de la Reserva Comunal Amarakaeri, en el departamento de Madre de Dios” y “Mejoramiento de los servicios de Información ambiental para el mapeo de la deforestación en los bosques amazónicos del Perú”.</t>
  </si>
  <si>
    <t>Programa “Mejoramiento de los Servicios de Justicia no Penales a través de la implementación del Expediente Judicial Electrónico (EJE)”.</t>
  </si>
  <si>
    <t>La UE es MINUSDH/Poder Judicial</t>
  </si>
  <si>
    <t>La UE es MVCS a través de COFOPRI</t>
  </si>
  <si>
    <t>La UE es MML</t>
  </si>
  <si>
    <t>La UE es AGRO RURAL.</t>
  </si>
  <si>
    <t xml:space="preserve">La UE es PRONATEL </t>
  </si>
  <si>
    <t>La UE es Programa Nacional de Saneamiento Urbano</t>
  </si>
  <si>
    <t>Las UE es: El Poder Judicial, Ministerio Público y MINJUSDH</t>
  </si>
  <si>
    <t>10.6 años</t>
  </si>
  <si>
    <t>D.S. Nº 049-2020-EF</t>
  </si>
  <si>
    <t>D.S. Nº 368-2019-EF</t>
  </si>
  <si>
    <t>Proyecto “Mejoramiento de los Servicios de Prevención del Delito en la Población más Vulnerable al Crimen y la Violencia en el Perú”.</t>
  </si>
  <si>
    <t>La UE es DGTP - MEF</t>
  </si>
  <si>
    <t>110/</t>
  </si>
  <si>
    <t>111/</t>
  </si>
  <si>
    <t>112/</t>
  </si>
  <si>
    <t>113/</t>
  </si>
  <si>
    <t>114/</t>
  </si>
  <si>
    <t>115/</t>
  </si>
  <si>
    <t>116/</t>
  </si>
  <si>
    <t>117/</t>
  </si>
  <si>
    <t>118/</t>
  </si>
  <si>
    <t>119/</t>
  </si>
  <si>
    <t>120/</t>
  </si>
  <si>
    <r>
      <rPr>
        <b/>
        <sz val="9"/>
        <color theme="1"/>
        <rFont val="Arial"/>
        <family val="2"/>
      </rPr>
      <t>110</t>
    </r>
    <r>
      <rPr>
        <sz val="9"/>
        <color theme="1"/>
        <rFont val="Arial"/>
        <family val="2"/>
      </rPr>
      <t>/  La cancelación del préstamo es cuotas semestrales y consecutivas, venciendo la primera cuota a los diez (10) años y seis (6) meses contados a partir de la fecha de suscripción del contrato de préstamo, y la última, a más tardar, a los cuarenta (40) años contados a partir de esa misma fecha.El monto de cada cuota será: i) las primeras 20 cuotas de amortización serán por un monto equivalente al 1% del saldo deudor del préstamo, y ii) las siguientes 40 cuotas serán por un monto equivalente al 2% del saldo deudor del préstamo.</t>
    </r>
  </si>
  <si>
    <r>
      <t>111</t>
    </r>
    <r>
      <rPr>
        <sz val="9"/>
        <color theme="1"/>
        <rFont val="Arial"/>
        <family val="2"/>
      </rPr>
      <t>/ La cancelación del  préstamo es mediante cinco cuotas semestrales y consecutivas en los siguientes porcentajes del monto del préstamo y fechas: 6% el 15 de setiembre de 2025, 12% el 15 de marzo de 2026, 12% el 15 de setiembre de 2026, 35% el 15 de marzo de 2027, y 35% el 15 de setiembre de 2027.</t>
    </r>
  </si>
  <si>
    <r>
      <t>112</t>
    </r>
    <r>
      <rPr>
        <sz val="9"/>
        <color theme="1"/>
        <rFont val="Arial"/>
        <family val="2"/>
      </rPr>
      <t>/ Fija a ser determinada en la fecha de firma del Contrato de Préstamo.</t>
    </r>
  </si>
  <si>
    <r>
      <t>113</t>
    </r>
    <r>
      <rPr>
        <sz val="9"/>
        <color theme="1"/>
        <rFont val="Arial"/>
        <family val="2"/>
      </rPr>
      <t>/ La cancelación del préstamo se realizará en las siguientes fechas y porcentajes del monto del préstamo: 12,5% el 15 de noviembre de 2025, 6,25% el 15 de mayo de 2026, 6,25% el 15 de noviembre de 2026, 15,0% el 15 de mayo de 2027, 15,0% el 15 de noviembre de 2027, 15,0% el 15 de mayo de 2028, 15,0% el 15 de noviembre de 2028 y 15,0% el 15 de mayo de 2029.</t>
    </r>
  </si>
  <si>
    <r>
      <rPr>
        <b/>
        <sz val="10"/>
        <color indexed="10"/>
        <rFont val="Arial"/>
        <family val="2"/>
      </rPr>
      <t>114/</t>
    </r>
    <r>
      <rPr>
        <b/>
        <sz val="10"/>
        <rFont val="Arial"/>
        <family val="2"/>
      </rPr>
      <t xml:space="preserve"> </t>
    </r>
    <r>
      <rPr>
        <sz val="10"/>
        <rFont val="Arial"/>
        <family val="2"/>
      </rPr>
      <t xml:space="preserve">La cancelación de dicha operación de endeudamiento externo es mediante seis (06) cuotas semestrales y consecutivas en los siguientes porcentajes del monto del préstamo y fechas: 10% el 01 de agosto de 2026, 10% el 01 de febrero de 2027, 20% el 01 de agosto 2027, 20% el 01 de febrero 2028, 20% el 01 de agosto 2028 y 20% el 01 de febrero 2029. Devengan una tasa de interés basada en la tasa LIBOR a seis meses, más un margen variable a ser determinado por el BIRF de acuerdo con su política sobre tasa de interés. </t>
    </r>
  </si>
  <si>
    <r>
      <rPr>
        <b/>
        <sz val="10"/>
        <color rgb="FFC00000"/>
        <rFont val="Arial"/>
        <family val="2"/>
      </rPr>
      <t>115/</t>
    </r>
    <r>
      <rPr>
        <b/>
        <sz val="10"/>
        <rFont val="Arial"/>
        <family val="2"/>
      </rPr>
      <t xml:space="preserve"> </t>
    </r>
    <r>
      <rPr>
        <sz val="10"/>
        <rFont val="Arial"/>
        <family val="2"/>
      </rPr>
      <t>La cancelación de dicha operación de endeudamiento externo se realiza en cuatro (04) cuotas en las siguientes fechas y porcentajes del monto del préstamo: 26% el 15 de enero de 2025, 26% el 15 de julio de 2025, 24% el 15 de enero de 2027 y 24% el 15 de julio de 2027. Devenga una tasa de interés basada en la tasa LIBOR a tres (03) meses, más un margen a ser determinado por el BID, de acuerdo con su política sobre tasas de interés.</t>
    </r>
  </si>
  <si>
    <r>
      <rPr>
        <b/>
        <sz val="10"/>
        <color rgb="FFFF0000"/>
        <rFont val="Arial"/>
        <family val="2"/>
      </rPr>
      <t>116/</t>
    </r>
    <r>
      <rPr>
        <b/>
        <sz val="10"/>
        <rFont val="Arial"/>
        <family val="2"/>
      </rPr>
      <t xml:space="preserve"> </t>
    </r>
    <r>
      <rPr>
        <sz val="10"/>
        <rFont val="Arial"/>
        <family val="2"/>
      </rPr>
      <t>La cancelación de dicha operación de endeudamiento externo es mediante dieciséis (16) cuotas semestrales y consecutivas en los siguientes porcentajes del monto del préstamo y fechas: 6,45% del 15 de julio de 2023 hasta el 15 de julio de 2030 correspondiente a las primeras quince (15) cuotas, y 3,25% el 15 de enero de 2031 referido a la última cuota. Devengan una tasa de interés basada en la Tasa LIBOR a seis (06) meses, más un margen variable a ser determinado por el BIRF de acuerdo con su política sobre tasas de interés.</t>
    </r>
  </si>
  <si>
    <r>
      <rPr>
        <b/>
        <sz val="10"/>
        <color indexed="10"/>
        <rFont val="Arial"/>
        <family val="2"/>
      </rPr>
      <t>117/</t>
    </r>
    <r>
      <rPr>
        <b/>
        <sz val="10"/>
        <rFont val="Arial"/>
        <family val="2"/>
      </rPr>
      <t xml:space="preserve"> </t>
    </r>
    <r>
      <rPr>
        <sz val="10"/>
        <rFont val="Arial"/>
        <family val="2"/>
      </rPr>
      <t>La citada operación de endeudamiento externo es amortizada en seis (6) cuotas semestrales consecutivas y en lo posible iguales, venciendo la primera cuota a los cinco (5) años contados de la fecha de cumplimiento de las condiciones previas para el retiro de fondos del préstamo, de acuerdo a la política del Fondo Internacional de Desarrollo Agrícola - FIDA. La operación de endeudamiento externo devenga una tasa de interés variable de referencia del FIDA con un margen variable proporcionado por este último de acuerdo con su política sobre tasa de interés.</t>
    </r>
  </si>
  <si>
    <r>
      <rPr>
        <b/>
        <sz val="10"/>
        <color indexed="10"/>
        <rFont val="Arial"/>
        <family val="2"/>
      </rPr>
      <t>118/</t>
    </r>
    <r>
      <rPr>
        <b/>
        <sz val="10"/>
        <rFont val="Arial"/>
        <family val="2"/>
      </rPr>
      <t xml:space="preserve"> </t>
    </r>
    <r>
      <rPr>
        <sz val="10"/>
        <rFont val="Arial"/>
        <family val="2"/>
      </rPr>
      <t>La cancelación de dicha operación de endeudamiento externo es mediante ocho (08) cuotas semestrales, consecutivas y en lo posible iguales, venciendo la primera el 15 de julio de 2024 y la última el 15 de enero de 2028. Devengan una tasa de interés basada en la Tasa LIBOR a seis (06) meses, más un margen variable a ser determinado por el BIRF de acuerdo con su política sobre tasas de interés.</t>
    </r>
  </si>
  <si>
    <r>
      <rPr>
        <b/>
        <sz val="10"/>
        <color indexed="10"/>
        <rFont val="Arial"/>
        <family val="2"/>
      </rPr>
      <t>119/</t>
    </r>
    <r>
      <rPr>
        <b/>
        <sz val="10"/>
        <rFont val="Arial"/>
        <family val="2"/>
      </rPr>
      <t xml:space="preserve"> </t>
    </r>
    <r>
      <rPr>
        <sz val="10"/>
        <rFont val="Arial"/>
        <family val="2"/>
      </rPr>
      <t>La citada operación de endeudamiento externo es amortizada mediante catorce (14) cuotas semestrales y consecutivas en los siguientes porcentajes del monto de préstamo y fechas: 7,14% del 15 de agosto de 2025 hasta el 15 de agosto de 2031 correspondiente a las primeras trece (13) cuotas, y 7,18% el 15 de febrero de 2032 referido a la última cuota. Devenga una tasa de interés basada en la tasa LIBOR a tres (03) meses, más un margen a ser determinado por el BID, de acuerdo con su política sobre tasas de interés.</t>
    </r>
  </si>
  <si>
    <r>
      <rPr>
        <b/>
        <sz val="10"/>
        <color indexed="10"/>
        <rFont val="Arial"/>
        <family val="2"/>
      </rPr>
      <t>120/</t>
    </r>
    <r>
      <rPr>
        <b/>
        <sz val="10"/>
        <rFont val="Arial"/>
        <family val="2"/>
      </rPr>
      <t xml:space="preserve"> </t>
    </r>
    <r>
      <rPr>
        <sz val="10"/>
        <rFont val="Arial"/>
        <family val="2"/>
      </rPr>
      <t>La citada operación de endeudamiento externo es amortizada mediante doce (12) cuotas semestrales y consecutivas en los siguientes porcentajes del monto del préstamo y fechas: 8,33% del 15 de junio de 2025 hasta el 15 de junio de 2030 correspondiente a las primeras once (11) cuotas, y 8,37% el 15 de diciembre de 2030 referido a la última cuota. Devenga una tasa de interés basada en la tasa LIBOR a tres (03) meses, más un margen a ser determinado por el BID, de acuerdo con su política sobre tasas de interés.</t>
    </r>
  </si>
  <si>
    <r>
      <t xml:space="preserve">Destinada a financiar parcialmente el proyecto “Creación del servicio de </t>
    </r>
    <r>
      <rPr>
        <b/>
        <u/>
        <sz val="10"/>
        <rFont val="Arial"/>
        <family val="2"/>
      </rPr>
      <t>CATASTRO URBANO</t>
    </r>
    <r>
      <rPr>
        <sz val="10"/>
        <rFont val="Arial"/>
        <family val="2"/>
      </rPr>
      <t xml:space="preserve"> en distritos priorizados de las provincias de Chiclayo y Lambayeque del Departamento de Lambayeque; la Provincia de Lima del Departamento de Lima y la Provincia de Piura del Departamento de Piura”.</t>
    </r>
  </si>
  <si>
    <r>
      <t>Destinada a financiar parcialmente el Proyecto “</t>
    </r>
    <r>
      <rPr>
        <b/>
        <u/>
        <sz val="10"/>
        <rFont val="Arial"/>
        <family val="2"/>
      </rPr>
      <t>Ampliación</t>
    </r>
    <r>
      <rPr>
        <sz val="10"/>
        <rFont val="Arial"/>
        <family val="2"/>
      </rPr>
      <t xml:space="preserve"> del Tramo Norte del COSAC I desde la </t>
    </r>
    <r>
      <rPr>
        <b/>
        <u/>
        <sz val="10"/>
        <rFont val="Arial"/>
        <family val="2"/>
      </rPr>
      <t>Estación</t>
    </r>
    <r>
      <rPr>
        <sz val="10"/>
        <rFont val="Arial"/>
        <family val="2"/>
      </rPr>
      <t xml:space="preserve"> </t>
    </r>
    <r>
      <rPr>
        <b/>
        <u/>
        <sz val="10"/>
        <rFont val="Arial"/>
        <family val="2"/>
      </rPr>
      <t xml:space="preserve">El </t>
    </r>
    <r>
      <rPr>
        <b/>
        <sz val="10"/>
        <rFont val="Arial"/>
        <family val="2"/>
      </rPr>
      <t>Nara</t>
    </r>
    <r>
      <rPr>
        <b/>
        <u/>
        <sz val="10"/>
        <rFont val="Arial"/>
        <family val="2"/>
      </rPr>
      <t>njal</t>
    </r>
    <r>
      <rPr>
        <sz val="10"/>
        <rFont val="Arial"/>
        <family val="2"/>
      </rPr>
      <t xml:space="preserve"> hasta la Av. Chimpu Ocllo, Distritos de Comas y Carabayllo, Provincia de Lima - Lima”. </t>
    </r>
  </si>
  <si>
    <r>
      <t xml:space="preserve">Destinada a financiar parcialmente el Proyecto “Mejoramiento y Ampliación de los Servicios Públicos para el Desarrollo Productivo Local en los Ámbitos de la Sierra y Selva del Perú - </t>
    </r>
    <r>
      <rPr>
        <b/>
        <u/>
        <sz val="10"/>
        <rFont val="Arial"/>
        <family val="2"/>
      </rPr>
      <t>AVANZA RURAL</t>
    </r>
    <r>
      <rPr>
        <sz val="10"/>
        <rFont val="Arial"/>
        <family val="2"/>
      </rPr>
      <t xml:space="preserve"> - 5 Departamentos”.</t>
    </r>
  </si>
  <si>
    <r>
      <t xml:space="preserve">Destinada a financiar parcialmente el Proyecto </t>
    </r>
    <r>
      <rPr>
        <b/>
        <sz val="10"/>
        <rFont val="Arial"/>
        <family val="2"/>
      </rPr>
      <t>“Creación de un Sistema de Atención de Emergencias, Urgencias e Información mediante un número único 911 en Lima Metropolitana y Callao"</t>
    </r>
  </si>
  <si>
    <r>
      <t>Destinada a financiar parcialmente el Proyecto “</t>
    </r>
    <r>
      <rPr>
        <b/>
        <sz val="10"/>
        <rFont val="Arial"/>
        <family val="2"/>
      </rPr>
      <t xml:space="preserve">Mejoramiento, Ampliación y Creación del Servicio de Drenaje Pluvial </t>
    </r>
    <r>
      <rPr>
        <sz val="10"/>
        <rFont val="Arial"/>
        <family val="2"/>
      </rPr>
      <t>en el ambito urbano de los distritos de Cuzco, Wanchaq, Santiago y San Sebastian de la Provincia y Departamento de Cuzco y los distritos de Zarumilla y Aguas Verdes de las Provincia de Zarumilla - Departamento de Tumbes”</t>
    </r>
  </si>
  <si>
    <r>
      <t>Destinada a financiar parcialmente el Programa “</t>
    </r>
    <r>
      <rPr>
        <b/>
        <sz val="10"/>
        <rFont val="Arial"/>
        <family val="2"/>
      </rPr>
      <t>Mejoramiento de los Servicios de Justicia en Materia Penal en el Perú</t>
    </r>
    <r>
      <rPr>
        <sz val="10"/>
        <rFont val="Arial"/>
        <family val="2"/>
      </rPr>
      <t>”</t>
    </r>
  </si>
  <si>
    <r>
      <t>Denominada "</t>
    </r>
    <r>
      <rPr>
        <b/>
        <sz val="10"/>
        <rFont val="Arial"/>
        <family val="2"/>
      </rPr>
      <t>Programa de Mejoramiento de la Productividad y Competitividad</t>
    </r>
    <r>
      <rPr>
        <sz val="10"/>
        <rFont val="Arial"/>
        <family val="2"/>
      </rPr>
      <t>”</t>
    </r>
  </si>
  <si>
    <t>D.S. Nº 018-2021-EF</t>
  </si>
  <si>
    <t xml:space="preserve">D.S. Nº 099-2021-EF </t>
  </si>
  <si>
    <t xml:space="preserve">D.S. Nº 122-2021-EF </t>
  </si>
  <si>
    <t>D.S. Nº 368 - 2020-EF</t>
  </si>
  <si>
    <t>Destinada a financiar parcialmente los Proyectos de “Mejoramiento del Centro Histórico del Rímac, distrito de Rímac – provincia de Lima – departamento de Lima” y “Mejoramiento del Centro Histórico de Huamanga - Ayacucho, distrito de Ayacucho – provincia de Huamanga – departamento de Ayacucho” de la primera fase del Programa “Mejoramiento de los Centros Históricos de Lima, Arequipa, Trujillo y Ayacucho”.</t>
  </si>
  <si>
    <t>Destinada para financiar parcialmente el Programa “Fomento y Gestión Sostenible de la Producción Forestal en el Perú”.</t>
  </si>
  <si>
    <t>Destinada a financiar parcialmente el Programa de Infraestructura Vial para la Competitividad Regional–PROREGIÓN 1.</t>
  </si>
  <si>
    <t>Apruébase la operación de endeudamiento externo, con cargo a los recursos provenientes del Fondo Fiduciario para una Tecnología Limpia (FTL), destinada a financiar parcialmente el programa “Financiamiento de Soluciones Sostenibles del Transporte Eléctrico en Perú.</t>
  </si>
  <si>
    <t>Apruébase la operación de endeudamiento externo, destinada a financiar parcialmente el programa “Financiamiento de Soluciones Sostenibles del Transporte Eléctrico en Perú”.</t>
  </si>
  <si>
    <t>Operación de endeudamiento externo, con el BIRF denominada “Programa de Desarrollo del Capital Humano”.</t>
  </si>
  <si>
    <t>Cultura</t>
  </si>
  <si>
    <t>2.42% anual</t>
  </si>
  <si>
    <t>Libor 6M+ 1.8% anual</t>
  </si>
  <si>
    <t>5 años 6 meses</t>
  </si>
  <si>
    <t>Euros</t>
  </si>
  <si>
    <t xml:space="preserve">La UE SERFOR </t>
  </si>
  <si>
    <t>La UE MTC - PROVIAS DESCENTRALIZADO.</t>
  </si>
  <si>
    <t>La UE COFIDE.</t>
  </si>
  <si>
    <t>La UE MEF a través de la DGTP.</t>
  </si>
  <si>
    <t>La UE 008: Proyectos Especiales del Pliego 003: Ministerio de Cultura</t>
  </si>
  <si>
    <t xml:space="preserve">La UE 008: Proyectos Especiales del Pliego 003: Ministerio de Cultura </t>
  </si>
  <si>
    <t xml:space="preserve">     9% el 15 de noviembre de 2026, 20% el 15 de mayo de 2027 y 20% el 15 de noviembre de 2027.</t>
  </si>
  <si>
    <r>
      <t xml:space="preserve">D.S. Nº 080-2021-EF  </t>
    </r>
    <r>
      <rPr>
        <b/>
        <sz val="10"/>
        <rFont val="Arial"/>
        <family val="2"/>
      </rPr>
      <t>121</t>
    </r>
    <r>
      <rPr>
        <b/>
        <sz val="11"/>
        <rFont val="Arial"/>
        <family val="2"/>
      </rPr>
      <t>/</t>
    </r>
  </si>
  <si>
    <t>122/</t>
  </si>
  <si>
    <t>123/</t>
  </si>
  <si>
    <t>124/</t>
  </si>
  <si>
    <t>125/</t>
  </si>
  <si>
    <t>126/</t>
  </si>
  <si>
    <r>
      <rPr>
        <b/>
        <sz val="10"/>
        <color theme="1"/>
        <rFont val="Arial"/>
        <family val="2"/>
      </rPr>
      <t xml:space="preserve">121/ </t>
    </r>
    <r>
      <rPr>
        <sz val="10"/>
        <color theme="1"/>
        <rFont val="Arial"/>
        <family val="2"/>
      </rPr>
      <t xml:space="preserve"> El prestamo comprende dos tramos. El tramo I hasta por Euros 30 000 000 y el Tramo II hasta por Euros 24 000 000.</t>
    </r>
  </si>
  <si>
    <r>
      <rPr>
        <b/>
        <sz val="10"/>
        <color theme="1"/>
        <rFont val="Arial"/>
        <family val="2"/>
      </rPr>
      <t>122</t>
    </r>
    <r>
      <rPr>
        <sz val="10"/>
        <color theme="1"/>
        <rFont val="Arial"/>
        <family val="2"/>
      </rPr>
      <t>/  Devenga una tasa de interés fija anual a ser determinadas por el KfW en la fecha de la firma del contrato de préstamo, de acuerdo a sus políticas sobre tasas de interés.</t>
    </r>
  </si>
  <si>
    <r>
      <rPr>
        <b/>
        <sz val="10"/>
        <color theme="1"/>
        <rFont val="Arial"/>
        <family val="2"/>
      </rPr>
      <t>123</t>
    </r>
    <r>
      <rPr>
        <sz val="10"/>
        <color theme="1"/>
        <rFont val="Arial"/>
        <family val="2"/>
      </rPr>
      <t>/  La cancelación de la citada operación de endeudamiento externo es mediante siete (07) cuotas semestrales y consecutivas en los siguientes porcentajes del monto del préstamo y fechas: 8% el 15 de noviembre de 2024, 17% el 15 de mayo de 2025, 18% el 15 de noviembre de 2025, 8% el 15 de mayo de 2026,</t>
    </r>
  </si>
  <si>
    <r>
      <rPr>
        <b/>
        <sz val="10"/>
        <color theme="1"/>
        <rFont val="Arial"/>
        <family val="2"/>
      </rPr>
      <t>124</t>
    </r>
    <r>
      <rPr>
        <sz val="10"/>
        <color theme="1"/>
        <rFont val="Arial"/>
        <family val="2"/>
      </rPr>
      <t xml:space="preserve">/  La amortización es de 18 cuotas semestrales, consecutivas y en lo posible iguales, venciendo la primera cuota el 15 de setiembre de 2027 y última el 15 de marzo de 2036. </t>
    </r>
  </si>
  <si>
    <r>
      <rPr>
        <b/>
        <sz val="10"/>
        <color theme="1"/>
        <rFont val="Arial"/>
        <family val="2"/>
      </rPr>
      <t>125</t>
    </r>
    <r>
      <rPr>
        <sz val="10"/>
        <color theme="1"/>
        <rFont val="Arial"/>
        <family val="2"/>
      </rPr>
      <t>/  La cancelación de la citada operación de endeudamiento externo es mediante cuotas semestrales, consecutivas y en lo posible iguales, empezando el primer pago el día 15 de septiembre de 2027 y el último pago el día 15 de septiembre de 2041.</t>
    </r>
  </si>
  <si>
    <r>
      <rPr>
        <b/>
        <sz val="10"/>
        <color rgb="FFC00000"/>
        <rFont val="Arial"/>
        <family val="2"/>
      </rPr>
      <t>126</t>
    </r>
    <r>
      <rPr>
        <b/>
        <sz val="10"/>
        <color rgb="FFFF0000"/>
        <rFont val="Arial"/>
        <family val="2"/>
      </rPr>
      <t>/</t>
    </r>
    <r>
      <rPr>
        <b/>
        <sz val="10"/>
        <rFont val="Arial"/>
        <family val="2"/>
      </rPr>
      <t xml:space="preserve"> </t>
    </r>
    <r>
      <rPr>
        <sz val="10"/>
        <rFont val="Arial"/>
        <family val="2"/>
      </rPr>
      <t>La cancelación de la citada operación de endeudamiento externo es mediante trece (13) cuotas semestrales y consecutivas, en los siguientes porcentajes del monto de préstamo y fechas: 8% del 15 de febrero 2025 hasta el 15 de agosto de 2030 correspondiente a las primeras doce (12) cuotas, y 4% el 15 de febrero 2031 referida a la última cuota. Devengan una tasa de interés basada en la tasa LIBOR a seis (06) meses, más un margen variable a ser determinado por el BIRF de acuerdo con su política sobre tasa de interés.</t>
    </r>
  </si>
  <si>
    <t>CONCERTACIONES DE DEUDA PUBLICA EXTERNA  1990-2020</t>
  </si>
  <si>
    <t>DIRECCION GENERAL DEL TESORO PÚBLICO</t>
  </si>
  <si>
    <t>Turismo</t>
  </si>
  <si>
    <t>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</si>
</sst>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0.0"/>
    <numFmt numFmtId="166" formatCode="d\-mmm\-yyyy"/>
    <numFmt numFmtId="167" formatCode="#,##0.000000"/>
    <numFmt numFmtId="168" formatCode="_ * #,##0_ ;_ * \-#,##0_ ;_ * &quot;-&quot;??_ ;_ @_ "/>
    <numFmt numFmtId="169" formatCode="0.000%"/>
    <numFmt numFmtId="170" formatCode="0.0%"/>
    <numFmt numFmtId="171" formatCode="[$-C0A]d\-mmm\-yyyy;@"/>
    <numFmt numFmtId="172" formatCode="#,##0.000"/>
  </numFmts>
  <fonts count="32" x14ac:knownFonts="1">
    <font>
      <sz val="10"/>
      <name val="Arial"/>
    </font>
    <font>
      <sz val="10"/>
      <name val="Arial"/>
      <family val="2"/>
    </font>
    <font>
      <sz val="12"/>
      <name val="Helv"/>
    </font>
    <font>
      <b/>
      <sz val="10"/>
      <name val="Arial"/>
      <family val="2"/>
    </font>
    <font>
      <sz val="10"/>
      <name val="Arial"/>
      <family val="2"/>
    </font>
    <font>
      <b/>
      <u/>
      <sz val="10"/>
      <name val="Arial"/>
      <family val="2"/>
    </font>
    <font>
      <b/>
      <sz val="14"/>
      <name val="Arial"/>
      <family val="2"/>
    </font>
    <font>
      <sz val="10"/>
      <color indexed="12"/>
      <name val="Arial"/>
      <family val="2"/>
    </font>
    <font>
      <sz val="9"/>
      <name val="Arial"/>
      <family val="2"/>
    </font>
    <font>
      <b/>
      <u/>
      <sz val="10"/>
      <color indexed="12"/>
      <name val="Arial"/>
      <family val="2"/>
    </font>
    <font>
      <b/>
      <u/>
      <sz val="12"/>
      <color indexed="12"/>
      <name val="Arial"/>
      <family val="2"/>
    </font>
    <font>
      <b/>
      <sz val="10"/>
      <color indexed="12"/>
      <name val="Arial"/>
      <family val="2"/>
    </font>
    <font>
      <b/>
      <u/>
      <sz val="14"/>
      <color indexed="12"/>
      <name val="Arial"/>
      <family val="2"/>
    </font>
    <font>
      <b/>
      <u/>
      <sz val="14"/>
      <name val="Arial"/>
      <family val="2"/>
    </font>
    <font>
      <b/>
      <sz val="11"/>
      <name val="Arial"/>
      <family val="2"/>
    </font>
    <font>
      <b/>
      <sz val="10"/>
      <color indexed="10"/>
      <name val="Arial"/>
      <family val="2"/>
    </font>
    <font>
      <b/>
      <sz val="10"/>
      <color indexed="20"/>
      <name val="Arial"/>
      <family val="2"/>
    </font>
    <font>
      <sz val="10"/>
      <color indexed="8"/>
      <name val="Arial"/>
      <family val="2"/>
    </font>
    <font>
      <sz val="10"/>
      <color indexed="10"/>
      <name val="Arial"/>
      <family val="2"/>
    </font>
    <font>
      <b/>
      <sz val="9"/>
      <name val="Arial"/>
      <family val="2"/>
    </font>
    <font>
      <b/>
      <u/>
      <sz val="11"/>
      <color indexed="12"/>
      <name val="Arial"/>
      <family val="2"/>
    </font>
    <font>
      <b/>
      <sz val="10"/>
      <color indexed="8"/>
      <name val="Arial"/>
      <family val="2"/>
    </font>
    <font>
      <b/>
      <sz val="10"/>
      <color rgb="FFFF0000"/>
      <name val="Arial"/>
      <family val="2"/>
    </font>
    <font>
      <sz val="10"/>
      <color rgb="FFFF0000"/>
      <name val="Arial"/>
      <family val="2"/>
    </font>
    <font>
      <b/>
      <sz val="9"/>
      <color rgb="FFFF0000"/>
      <name val="Arial"/>
      <family val="2"/>
    </font>
    <font>
      <sz val="10"/>
      <color theme="1"/>
      <name val="Arial"/>
      <family val="2"/>
    </font>
    <font>
      <sz val="9"/>
      <color theme="1"/>
      <name val="Arial"/>
      <family val="2"/>
    </font>
    <font>
      <b/>
      <sz val="9"/>
      <color theme="1"/>
      <name val="Arial"/>
      <family val="2"/>
    </font>
    <font>
      <b/>
      <u/>
      <sz val="10"/>
      <color rgb="FF0000FF"/>
      <name val="Arial"/>
      <family val="2"/>
    </font>
    <font>
      <b/>
      <sz val="10"/>
      <color rgb="FFC00000"/>
      <name val="Arial"/>
      <family val="2"/>
    </font>
    <font>
      <b/>
      <sz val="10"/>
      <color theme="1"/>
      <name val="Arial"/>
      <family val="2"/>
    </font>
    <font>
      <sz val="11"/>
      <name val="Arial"/>
      <family val="2"/>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19">
    <border>
      <left/>
      <right/>
      <top/>
      <bottom/>
      <diagonal/>
    </border>
    <border>
      <left/>
      <right/>
      <top/>
      <bottom style="double">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diagonal/>
    </border>
    <border>
      <left style="double">
        <color indexed="8"/>
      </left>
      <right style="double">
        <color indexed="64"/>
      </right>
      <top/>
      <bottom/>
      <diagonal/>
    </border>
    <border>
      <left style="double">
        <color indexed="8"/>
      </left>
      <right style="double">
        <color indexed="64"/>
      </right>
      <top/>
      <bottom style="double">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673">
    <xf numFmtId="0" fontId="0" fillId="0" borderId="0" xfId="0"/>
    <xf numFmtId="0" fontId="22" fillId="0" borderId="2" xfId="0" applyFont="1" applyFill="1" applyBorder="1" applyAlignment="1">
      <alignment horizontal="center" vertical="center"/>
    </xf>
    <xf numFmtId="9" fontId="1" fillId="0" borderId="0" xfId="2" applyFont="1" applyFill="1" applyBorder="1" applyAlignment="1">
      <alignment horizontal="center" vertical="center"/>
    </xf>
    <xf numFmtId="9" fontId="1" fillId="0" borderId="4" xfId="2" applyFont="1" applyFill="1" applyBorder="1" applyAlignment="1">
      <alignment horizontal="center" vertical="center"/>
    </xf>
    <xf numFmtId="0" fontId="1" fillId="0" borderId="0" xfId="0" applyFont="1" applyFill="1" applyAlignment="1">
      <alignment horizontal="center" vertical="center"/>
    </xf>
    <xf numFmtId="3" fontId="1" fillId="0" borderId="4" xfId="0" applyNumberFormat="1" applyFont="1" applyFill="1" applyBorder="1" applyAlignment="1">
      <alignment horizontal="right" vertical="center"/>
    </xf>
    <xf numFmtId="0" fontId="3" fillId="0" borderId="2" xfId="0" applyFont="1" applyFill="1" applyBorder="1" applyAlignment="1">
      <alignment horizontal="center" vertical="center"/>
    </xf>
    <xf numFmtId="0" fontId="22" fillId="0" borderId="2"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 xfId="0" applyFont="1" applyFill="1" applyBorder="1" applyAlignment="1">
      <alignment horizontal="center" vertical="center" wrapText="1"/>
    </xf>
    <xf numFmtId="166"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xf>
    <xf numFmtId="3" fontId="1" fillId="0" borderId="0" xfId="0" applyNumberFormat="1" applyFont="1" applyFill="1" applyBorder="1" applyAlignment="1">
      <alignment horizontal="right" vertical="center"/>
    </xf>
    <xf numFmtId="166" fontId="1" fillId="0" borderId="12" xfId="0" applyNumberFormat="1" applyFont="1" applyFill="1" applyBorder="1" applyAlignment="1">
      <alignment horizontal="center" vertical="center"/>
    </xf>
    <xf numFmtId="0" fontId="14" fillId="0" borderId="0" xfId="0" applyFont="1" applyAlignment="1">
      <alignment vertical="center"/>
    </xf>
    <xf numFmtId="15" fontId="0" fillId="0" borderId="0" xfId="0" applyNumberFormat="1" applyAlignment="1">
      <alignment vertical="center"/>
    </xf>
    <xf numFmtId="0" fontId="0" fillId="0" borderId="0" xfId="0" applyAlignment="1">
      <alignment vertical="center"/>
    </xf>
    <xf numFmtId="0" fontId="0" fillId="0" borderId="0" xfId="0" applyAlignment="1">
      <alignment horizontal="center" vertical="center"/>
    </xf>
    <xf numFmtId="0" fontId="2" fillId="0" borderId="0" xfId="0" applyFont="1" applyAlignment="1">
      <alignment vertical="center"/>
    </xf>
    <xf numFmtId="15" fontId="2" fillId="0" borderId="0" xfId="0" applyNumberFormat="1" applyFont="1" applyAlignment="1">
      <alignment horizontal="centerContinuous" vertical="center"/>
    </xf>
    <xf numFmtId="0" fontId="2" fillId="0" borderId="0" xfId="0" applyFont="1" applyAlignment="1">
      <alignment horizontal="centerContinuous" vertical="center"/>
    </xf>
    <xf numFmtId="0" fontId="2" fillId="0" borderId="0" xfId="0" applyFont="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0" fillId="0" borderId="6" xfId="0" applyBorder="1" applyAlignment="1">
      <alignment vertical="center"/>
    </xf>
    <xf numFmtId="15" fontId="0" fillId="0" borderId="6" xfId="0" applyNumberFormat="1" applyBorder="1" applyAlignment="1">
      <alignment vertical="center"/>
    </xf>
    <xf numFmtId="0" fontId="0" fillId="0" borderId="6" xfId="0"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2" fillId="0" borderId="2" xfId="0" applyFont="1" applyBorder="1" applyAlignment="1" applyProtection="1">
      <alignment vertical="center"/>
    </xf>
    <xf numFmtId="15" fontId="11" fillId="0" borderId="11" xfId="0" applyNumberFormat="1" applyFont="1" applyBorder="1" applyAlignment="1" applyProtection="1">
      <alignment vertical="center"/>
    </xf>
    <xf numFmtId="0" fontId="9" fillId="0" borderId="11" xfId="0" applyFont="1" applyBorder="1" applyAlignment="1" applyProtection="1">
      <alignment horizontal="center" vertical="center"/>
    </xf>
    <xf numFmtId="0" fontId="11" fillId="0" borderId="11" xfId="0" applyFont="1" applyBorder="1" applyAlignment="1" applyProtection="1">
      <alignment horizontal="center" vertical="center"/>
    </xf>
    <xf numFmtId="10" fontId="11" fillId="0" borderId="2" xfId="0" applyNumberFormat="1" applyFont="1" applyBorder="1" applyAlignment="1" applyProtection="1">
      <alignment horizontal="center" vertical="center"/>
    </xf>
    <xf numFmtId="0" fontId="11" fillId="0" borderId="0" xfId="0" applyFont="1" applyBorder="1" applyAlignment="1">
      <alignment vertical="center"/>
    </xf>
    <xf numFmtId="0" fontId="11" fillId="0" borderId="0" xfId="0" applyFont="1" applyBorder="1" applyAlignment="1" applyProtection="1">
      <alignment horizontal="center" vertical="center"/>
    </xf>
    <xf numFmtId="0" fontId="11" fillId="0" borderId="4" xfId="0" applyFont="1" applyBorder="1" applyAlignment="1" applyProtection="1">
      <alignment horizontal="center" vertical="center"/>
    </xf>
    <xf numFmtId="3" fontId="11" fillId="0" borderId="0" xfId="0" applyNumberFormat="1" applyFont="1" applyBorder="1" applyAlignment="1" applyProtection="1">
      <alignment vertical="center"/>
    </xf>
    <xf numFmtId="3" fontId="10" fillId="0" borderId="4" xfId="0" applyNumberFormat="1" applyFont="1" applyBorder="1" applyAlignment="1" applyProtection="1">
      <alignment vertical="center"/>
    </xf>
    <xf numFmtId="0" fontId="11" fillId="0" borderId="0" xfId="0" applyFont="1" applyAlignment="1">
      <alignment vertical="center"/>
    </xf>
    <xf numFmtId="0" fontId="5" fillId="0" borderId="2" xfId="0" applyFont="1" applyBorder="1" applyAlignment="1" applyProtection="1">
      <alignment vertical="center"/>
    </xf>
    <xf numFmtId="15" fontId="0" fillId="0" borderId="11" xfId="0" applyNumberFormat="1" applyBorder="1" applyAlignment="1" applyProtection="1">
      <alignment vertical="center"/>
    </xf>
    <xf numFmtId="0" fontId="5" fillId="0" borderId="11" xfId="0" applyFont="1" applyBorder="1" applyAlignment="1" applyProtection="1">
      <alignment horizontal="center" vertical="center"/>
    </xf>
    <xf numFmtId="0" fontId="0" fillId="0" borderId="2" xfId="0" applyBorder="1" applyAlignment="1" applyProtection="1">
      <alignment horizontal="left" vertical="center"/>
    </xf>
    <xf numFmtId="0" fontId="0" fillId="0" borderId="11" xfId="0" applyBorder="1" applyAlignment="1" applyProtection="1">
      <alignment horizontal="center" vertical="center"/>
    </xf>
    <xf numFmtId="10" fontId="0" fillId="0" borderId="2" xfId="0" applyNumberFormat="1" applyBorder="1" applyAlignment="1" applyProtection="1">
      <alignment horizontal="center" vertical="center"/>
    </xf>
    <xf numFmtId="0" fontId="0" fillId="0" borderId="0" xfId="0" applyBorder="1" applyAlignment="1">
      <alignment vertical="center"/>
    </xf>
    <xf numFmtId="0" fontId="0" fillId="0" borderId="0" xfId="0" applyBorder="1" applyAlignment="1" applyProtection="1">
      <alignment horizontal="center" vertical="center"/>
    </xf>
    <xf numFmtId="0" fontId="0" fillId="0" borderId="4" xfId="0" applyBorder="1" applyAlignment="1" applyProtection="1">
      <alignment horizontal="center" vertical="center"/>
    </xf>
    <xf numFmtId="3" fontId="0" fillId="0" borderId="0" xfId="0" applyNumberFormat="1" applyBorder="1" applyAlignment="1" applyProtection="1">
      <alignment vertical="center"/>
    </xf>
    <xf numFmtId="3" fontId="5" fillId="0" borderId="4" xfId="0" applyNumberFormat="1" applyFont="1" applyBorder="1" applyAlignment="1" applyProtection="1">
      <alignment vertical="center"/>
    </xf>
    <xf numFmtId="0" fontId="0" fillId="0" borderId="2" xfId="0" applyBorder="1" applyAlignment="1" applyProtection="1">
      <alignment vertical="center"/>
    </xf>
    <xf numFmtId="0" fontId="0" fillId="0" borderId="2" xfId="0" applyBorder="1" applyAlignment="1" applyProtection="1">
      <alignment horizontal="center" vertical="center"/>
    </xf>
    <xf numFmtId="3" fontId="4" fillId="0" borderId="0" xfId="0" applyNumberFormat="1" applyFont="1" applyBorder="1" applyAlignment="1" applyProtection="1">
      <alignment vertical="center"/>
    </xf>
    <xf numFmtId="3" fontId="0" fillId="0" borderId="4" xfId="0" applyNumberFormat="1" applyBorder="1" applyAlignment="1" applyProtection="1">
      <alignment vertical="center"/>
    </xf>
    <xf numFmtId="0" fontId="3" fillId="0" borderId="2" xfId="0" applyFont="1" applyBorder="1" applyAlignment="1" applyProtection="1">
      <alignment horizontal="left" vertical="center"/>
    </xf>
    <xf numFmtId="0" fontId="0" fillId="0" borderId="11" xfId="0" applyFill="1" applyBorder="1" applyAlignment="1" applyProtection="1">
      <alignment horizontal="center" vertical="center"/>
    </xf>
    <xf numFmtId="0" fontId="0" fillId="0" borderId="0" xfId="0" quotePrefix="1" applyBorder="1" applyAlignment="1" applyProtection="1">
      <alignment horizontal="center" vertical="center"/>
    </xf>
    <xf numFmtId="0" fontId="3" fillId="0" borderId="2" xfId="0" applyFont="1" applyBorder="1" applyAlignment="1" applyProtection="1">
      <alignment vertical="center"/>
    </xf>
    <xf numFmtId="18" fontId="0" fillId="0" borderId="4" xfId="0" applyNumberFormat="1" applyBorder="1" applyAlignment="1" applyProtection="1">
      <alignment horizontal="center" vertical="center"/>
    </xf>
    <xf numFmtId="0" fontId="7" fillId="0" borderId="2" xfId="0" applyFont="1" applyBorder="1" applyAlignment="1" applyProtection="1">
      <alignment vertical="center"/>
    </xf>
    <xf numFmtId="3" fontId="0" fillId="0" borderId="0" xfId="0" applyNumberFormat="1" applyFill="1" applyBorder="1" applyAlignment="1" applyProtection="1">
      <alignment vertical="center"/>
    </xf>
    <xf numFmtId="3" fontId="0" fillId="0" borderId="4" xfId="0" applyNumberFormat="1" applyFill="1" applyBorder="1" applyAlignment="1" applyProtection="1">
      <alignment vertical="center"/>
    </xf>
    <xf numFmtId="0" fontId="0" fillId="0" borderId="12" xfId="0" applyBorder="1" applyAlignment="1" applyProtection="1">
      <alignment horizontal="center" vertical="center"/>
    </xf>
    <xf numFmtId="0" fontId="0" fillId="0" borderId="12" xfId="0" applyFill="1" applyBorder="1" applyAlignment="1" applyProtection="1">
      <alignment horizontal="center" vertical="center"/>
    </xf>
    <xf numFmtId="10" fontId="0" fillId="0" borderId="3" xfId="0" applyNumberFormat="1" applyBorder="1" applyAlignment="1" applyProtection="1">
      <alignment horizontal="center" vertical="center"/>
    </xf>
    <xf numFmtId="0" fontId="0" fillId="0" borderId="1" xfId="0" applyBorder="1" applyAlignment="1" applyProtection="1">
      <alignment horizontal="center" vertical="center"/>
    </xf>
    <xf numFmtId="0" fontId="0" fillId="0" borderId="5" xfId="0" applyBorder="1" applyAlignment="1" applyProtection="1">
      <alignment horizontal="center" vertical="center"/>
    </xf>
    <xf numFmtId="3" fontId="0" fillId="0" borderId="1" xfId="0" applyNumberFormat="1" applyBorder="1" applyAlignment="1" applyProtection="1">
      <alignment vertical="center"/>
    </xf>
    <xf numFmtId="3" fontId="0" fillId="0" borderId="5" xfId="0" applyNumberFormat="1" applyBorder="1" applyAlignment="1" applyProtection="1">
      <alignment vertical="center"/>
    </xf>
    <xf numFmtId="0" fontId="7" fillId="0" borderId="2" xfId="0" applyFont="1" applyFill="1" applyBorder="1" applyAlignment="1" applyProtection="1">
      <alignment vertical="center"/>
    </xf>
    <xf numFmtId="15" fontId="0" fillId="0" borderId="11" xfId="0" applyNumberFormat="1" applyBorder="1" applyAlignment="1" applyProtection="1">
      <alignment horizontal="center" vertical="center"/>
    </xf>
    <xf numFmtId="0" fontId="0" fillId="0" borderId="0" xfId="0" quotePrefix="1" applyBorder="1" applyAlignment="1">
      <alignment horizontal="center" vertical="center"/>
    </xf>
    <xf numFmtId="10" fontId="15" fillId="0" borderId="2" xfId="0" applyNumberFormat="1" applyFont="1" applyBorder="1" applyAlignment="1" applyProtection="1">
      <alignment horizontal="center" vertical="center"/>
    </xf>
    <xf numFmtId="0" fontId="0" fillId="0" borderId="3" xfId="0" applyBorder="1" applyAlignment="1" applyProtection="1">
      <alignment vertical="center"/>
    </xf>
    <xf numFmtId="15" fontId="0" fillId="0" borderId="12" xfId="0" applyNumberFormat="1" applyBorder="1" applyAlignment="1" applyProtection="1">
      <alignment horizontal="center" vertical="center"/>
    </xf>
    <xf numFmtId="0" fontId="0" fillId="0" borderId="1" xfId="0" quotePrefix="1" applyBorder="1" applyAlignment="1">
      <alignment horizontal="center" vertical="center"/>
    </xf>
    <xf numFmtId="10" fontId="0" fillId="0" borderId="3" xfId="0" quotePrefix="1" applyNumberFormat="1" applyBorder="1" applyAlignment="1" applyProtection="1">
      <alignment horizontal="center" vertical="center"/>
    </xf>
    <xf numFmtId="15" fontId="0" fillId="0" borderId="17" xfId="0" applyNumberFormat="1" applyBorder="1" applyAlignment="1" applyProtection="1">
      <alignment vertical="center"/>
    </xf>
    <xf numFmtId="15" fontId="0" fillId="0" borderId="17" xfId="0" applyNumberFormat="1" applyBorder="1" applyAlignment="1" applyProtection="1">
      <alignment horizontal="center" vertical="center"/>
    </xf>
    <xf numFmtId="15" fontId="0" fillId="0" borderId="18" xfId="0" applyNumberFormat="1" applyBorder="1" applyAlignment="1" applyProtection="1">
      <alignment horizontal="center" vertical="center"/>
    </xf>
    <xf numFmtId="0" fontId="0" fillId="0" borderId="2" xfId="0" applyFill="1" applyBorder="1" applyAlignment="1" applyProtection="1">
      <alignment vertical="center"/>
    </xf>
    <xf numFmtId="15" fontId="0" fillId="0" borderId="11" xfId="0" applyNumberFormat="1" applyFill="1" applyBorder="1" applyAlignment="1" applyProtection="1">
      <alignment horizontal="center" vertical="center"/>
    </xf>
    <xf numFmtId="0" fontId="12" fillId="0" borderId="2" xfId="0" applyFont="1" applyFill="1" applyBorder="1" applyAlignment="1">
      <alignment vertical="center"/>
    </xf>
    <xf numFmtId="0" fontId="11" fillId="0" borderId="0"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11" xfId="0" applyFont="1" applyFill="1" applyBorder="1" applyAlignment="1">
      <alignment horizontal="center" vertical="center"/>
    </xf>
    <xf numFmtId="3" fontId="11" fillId="0" borderId="0" xfId="0" applyNumberFormat="1" applyFont="1" applyFill="1" applyBorder="1" applyAlignment="1">
      <alignment horizontal="right" vertical="center"/>
    </xf>
    <xf numFmtId="3" fontId="10" fillId="0" borderId="4" xfId="0" applyNumberFormat="1" applyFont="1" applyFill="1" applyBorder="1" applyAlignment="1">
      <alignment horizontal="right" vertical="center"/>
    </xf>
    <xf numFmtId="9" fontId="0" fillId="0" borderId="2" xfId="0" applyNumberFormat="1" applyBorder="1" applyAlignment="1" applyProtection="1">
      <alignment horizontal="center" vertical="center"/>
    </xf>
    <xf numFmtId="170" fontId="0" fillId="0" borderId="2" xfId="0" applyNumberFormat="1" applyBorder="1" applyAlignment="1" applyProtection="1">
      <alignment horizontal="center" vertical="center"/>
    </xf>
    <xf numFmtId="0" fontId="0" fillId="0" borderId="0" xfId="0" applyBorder="1" applyAlignment="1">
      <alignment horizontal="center" vertical="center"/>
    </xf>
    <xf numFmtId="0" fontId="0" fillId="0" borderId="4" xfId="0" applyBorder="1" applyAlignment="1">
      <alignment horizontal="center" vertical="center"/>
    </xf>
    <xf numFmtId="3" fontId="0" fillId="0" borderId="4" xfId="0" applyNumberFormat="1" applyBorder="1" applyAlignment="1">
      <alignment vertical="center"/>
    </xf>
    <xf numFmtId="15" fontId="0" fillId="0" borderId="11" xfId="0" applyNumberFormat="1" applyBorder="1" applyAlignment="1">
      <alignment horizontal="center" vertical="center"/>
    </xf>
    <xf numFmtId="0" fontId="0" fillId="0" borderId="2" xfId="0" applyBorder="1" applyAlignment="1">
      <alignment vertical="center"/>
    </xf>
    <xf numFmtId="0" fontId="0" fillId="0" borderId="11" xfId="0" applyBorder="1" applyAlignment="1">
      <alignment horizontal="center" vertical="center"/>
    </xf>
    <xf numFmtId="0" fontId="0" fillId="0" borderId="2" xfId="0" applyBorder="1" applyAlignment="1">
      <alignment horizontal="center" vertical="center"/>
    </xf>
    <xf numFmtId="10" fontId="0" fillId="0" borderId="2" xfId="0" applyNumberFormat="1" applyBorder="1" applyAlignment="1">
      <alignment horizontal="center" vertical="center"/>
    </xf>
    <xf numFmtId="3" fontId="0" fillId="0" borderId="0" xfId="0" applyNumberFormat="1" applyBorder="1" applyAlignment="1">
      <alignment vertical="center"/>
    </xf>
    <xf numFmtId="0" fontId="1" fillId="0" borderId="2" xfId="0" applyFont="1" applyBorder="1" applyAlignment="1">
      <alignment vertical="center"/>
    </xf>
    <xf numFmtId="3" fontId="0" fillId="0" borderId="0" xfId="0" applyNumberFormat="1" applyBorder="1" applyAlignment="1">
      <alignment horizontal="center" vertical="center"/>
    </xf>
    <xf numFmtId="3" fontId="5" fillId="0" borderId="4" xfId="0" applyNumberFormat="1" applyFont="1" applyBorder="1" applyAlignment="1">
      <alignment vertical="center"/>
    </xf>
    <xf numFmtId="15" fontId="0" fillId="0" borderId="12" xfId="0" applyNumberFormat="1"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3" fontId="0" fillId="0" borderId="1" xfId="0" applyNumberFormat="1" applyBorder="1" applyAlignment="1">
      <alignment vertical="center"/>
    </xf>
    <xf numFmtId="3" fontId="0" fillId="0" borderId="5" xfId="1" applyNumberFormat="1" applyFont="1" applyBorder="1" applyAlignment="1">
      <alignment vertical="center"/>
    </xf>
    <xf numFmtId="0" fontId="12" fillId="0" borderId="2" xfId="0" applyFont="1" applyBorder="1" applyAlignment="1">
      <alignment vertical="center"/>
    </xf>
    <xf numFmtId="0" fontId="11" fillId="0" borderId="2" xfId="0" applyFont="1" applyBorder="1" applyAlignment="1">
      <alignment horizontal="center" vertical="center"/>
    </xf>
    <xf numFmtId="0" fontId="11" fillId="0" borderId="0" xfId="0" applyFont="1" applyBorder="1" applyAlignment="1">
      <alignment horizontal="center" vertical="center"/>
    </xf>
    <xf numFmtId="0" fontId="11" fillId="0" borderId="4" xfId="0" applyFont="1" applyBorder="1" applyAlignment="1">
      <alignment horizontal="center" vertical="center"/>
    </xf>
    <xf numFmtId="15" fontId="0" fillId="0" borderId="11" xfId="0" applyNumberFormat="1" applyBorder="1" applyAlignment="1">
      <alignment vertical="center"/>
    </xf>
    <xf numFmtId="3" fontId="0" fillId="0" borderId="0" xfId="1" applyNumberFormat="1" applyFont="1" applyBorder="1" applyAlignment="1">
      <alignment vertical="center"/>
    </xf>
    <xf numFmtId="3" fontId="0" fillId="0" borderId="4" xfId="1" applyNumberFormat="1" applyFont="1" applyBorder="1" applyAlignment="1">
      <alignment vertical="center"/>
    </xf>
    <xf numFmtId="0" fontId="0" fillId="0" borderId="2" xfId="0" applyFill="1" applyBorder="1" applyAlignment="1">
      <alignment vertical="center"/>
    </xf>
    <xf numFmtId="9" fontId="0" fillId="0" borderId="2" xfId="0" applyNumberForma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0" fillId="0" borderId="3" xfId="0" applyFill="1" applyBorder="1" applyAlignment="1">
      <alignment vertical="center"/>
    </xf>
    <xf numFmtId="0" fontId="0" fillId="0" borderId="3" xfId="0" applyBorder="1" applyAlignment="1">
      <alignment horizontal="center" vertical="center"/>
    </xf>
    <xf numFmtId="3" fontId="0" fillId="0" borderId="1" xfId="1" applyNumberFormat="1" applyFont="1" applyBorder="1" applyAlignment="1">
      <alignment vertical="center"/>
    </xf>
    <xf numFmtId="3" fontId="11" fillId="0" borderId="0" xfId="0" applyNumberFormat="1" applyFont="1" applyBorder="1" applyAlignment="1">
      <alignment vertical="center"/>
    </xf>
    <xf numFmtId="3" fontId="10" fillId="0" borderId="4" xfId="0" applyNumberFormat="1" applyFont="1" applyBorder="1" applyAlignment="1">
      <alignment vertical="center"/>
    </xf>
    <xf numFmtId="0" fontId="4" fillId="0" borderId="2" xfId="0" applyFont="1" applyBorder="1" applyAlignment="1">
      <alignment vertical="center"/>
    </xf>
    <xf numFmtId="15" fontId="4" fillId="0" borderId="11" xfId="0" applyNumberFormat="1" applyFont="1" applyBorder="1" applyAlignment="1">
      <alignment horizontal="center" vertical="center"/>
    </xf>
    <xf numFmtId="0" fontId="4" fillId="0" borderId="11" xfId="0" applyFont="1" applyBorder="1" applyAlignment="1">
      <alignment vertical="center"/>
    </xf>
    <xf numFmtId="0" fontId="4" fillId="0" borderId="0" xfId="0" applyFont="1" applyBorder="1" applyAlignment="1">
      <alignment vertical="center"/>
    </xf>
    <xf numFmtId="0" fontId="4" fillId="0" borderId="11" xfId="0" applyFont="1" applyBorder="1" applyAlignment="1">
      <alignment horizontal="center" vertical="center"/>
    </xf>
    <xf numFmtId="0" fontId="0" fillId="0" borderId="4" xfId="0" applyBorder="1" applyAlignment="1">
      <alignment vertical="center"/>
    </xf>
    <xf numFmtId="0" fontId="4" fillId="0" borderId="4" xfId="0" applyFont="1" applyBorder="1" applyAlignment="1">
      <alignment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3" fontId="4" fillId="0" borderId="0" xfId="0" applyNumberFormat="1" applyFont="1" applyBorder="1" applyAlignment="1">
      <alignment vertical="center"/>
    </xf>
    <xf numFmtId="3" fontId="4" fillId="0" borderId="4" xfId="0" applyNumberFormat="1" applyFont="1" applyBorder="1" applyAlignment="1">
      <alignment vertical="center"/>
    </xf>
    <xf numFmtId="10" fontId="4" fillId="0" borderId="2" xfId="0" applyNumberFormat="1" applyFont="1" applyBorder="1" applyAlignment="1">
      <alignment horizontal="center" vertical="center"/>
    </xf>
    <xf numFmtId="0" fontId="4" fillId="0" borderId="3" xfId="0" applyFont="1" applyBorder="1" applyAlignment="1">
      <alignment vertical="center"/>
    </xf>
    <xf numFmtId="15" fontId="4" fillId="0" borderId="12" xfId="0" applyNumberFormat="1" applyFont="1" applyBorder="1" applyAlignment="1">
      <alignment horizontal="center" vertical="center"/>
    </xf>
    <xf numFmtId="0" fontId="4" fillId="0" borderId="12" xfId="0" applyFont="1" applyBorder="1" applyAlignment="1">
      <alignment vertical="center"/>
    </xf>
    <xf numFmtId="0" fontId="4" fillId="0" borderId="12" xfId="0" applyFont="1" applyBorder="1" applyAlignment="1">
      <alignment horizontal="center" vertical="center"/>
    </xf>
    <xf numFmtId="10" fontId="4" fillId="0" borderId="3" xfId="0" applyNumberFormat="1"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3" fontId="4" fillId="0" borderId="1" xfId="0" applyNumberFormat="1" applyFont="1" applyBorder="1" applyAlignment="1">
      <alignment vertical="center"/>
    </xf>
    <xf numFmtId="3" fontId="4" fillId="0" borderId="5" xfId="0" applyNumberFormat="1" applyFont="1" applyBorder="1" applyAlignment="1">
      <alignment vertical="center"/>
    </xf>
    <xf numFmtId="0" fontId="4" fillId="0" borderId="11" xfId="0" applyFont="1" applyFill="1" applyBorder="1" applyAlignment="1">
      <alignment horizontal="center" vertical="center"/>
    </xf>
    <xf numFmtId="9" fontId="4" fillId="0" borderId="2" xfId="0" applyNumberFormat="1" applyFont="1" applyBorder="1" applyAlignment="1">
      <alignment horizontal="center" vertical="center"/>
    </xf>
    <xf numFmtId="0" fontId="4" fillId="0" borderId="0" xfId="0" applyFont="1" applyFill="1" applyBorder="1" applyAlignment="1">
      <alignment vertical="center"/>
    </xf>
    <xf numFmtId="0" fontId="4" fillId="0" borderId="12" xfId="0" applyFont="1" applyFill="1" applyBorder="1" applyAlignment="1">
      <alignment horizontal="center" vertical="center"/>
    </xf>
    <xf numFmtId="15" fontId="0" fillId="0" borderId="11" xfId="0" applyNumberFormat="1" applyBorder="1" applyAlignment="1">
      <alignment horizontal="right" vertical="center"/>
    </xf>
    <xf numFmtId="15" fontId="4" fillId="0" borderId="11" xfId="0" applyNumberFormat="1" applyFont="1" applyBorder="1" applyAlignment="1">
      <alignment horizontal="right" vertical="center"/>
    </xf>
    <xf numFmtId="0" fontId="8" fillId="0" borderId="11" xfId="0" applyFont="1" applyBorder="1" applyAlignment="1">
      <alignment horizontal="center" vertical="center"/>
    </xf>
    <xf numFmtId="0" fontId="8" fillId="0" borderId="0" xfId="0" applyFont="1" applyBorder="1" applyAlignment="1">
      <alignment horizontal="left" vertical="center"/>
    </xf>
    <xf numFmtId="0" fontId="8" fillId="0" borderId="4" xfId="0" applyFont="1" applyBorder="1" applyAlignment="1">
      <alignment horizontal="center" vertical="center"/>
    </xf>
    <xf numFmtId="10" fontId="8" fillId="0" borderId="2" xfId="0" applyNumberFormat="1" applyFont="1" applyBorder="1" applyAlignment="1">
      <alignment horizontal="center" vertical="center"/>
    </xf>
    <xf numFmtId="0" fontId="8" fillId="0" borderId="0" xfId="0" applyFont="1" applyBorder="1" applyAlignment="1">
      <alignment horizontal="center" vertical="center"/>
    </xf>
    <xf numFmtId="3" fontId="8" fillId="0" borderId="0" xfId="0" applyNumberFormat="1" applyFont="1" applyBorder="1" applyAlignment="1">
      <alignment vertical="center"/>
    </xf>
    <xf numFmtId="3" fontId="8" fillId="0" borderId="4" xfId="0" applyNumberFormat="1" applyFont="1" applyBorder="1" applyAlignment="1">
      <alignment vertical="center"/>
    </xf>
    <xf numFmtId="0" fontId="8" fillId="0" borderId="2" xfId="0" applyFont="1" applyBorder="1" applyAlignment="1">
      <alignment horizontal="center" vertical="center"/>
    </xf>
    <xf numFmtId="15" fontId="4" fillId="0" borderId="12" xfId="0" applyNumberFormat="1" applyFont="1" applyBorder="1" applyAlignment="1">
      <alignment horizontal="right" vertical="center"/>
    </xf>
    <xf numFmtId="0" fontId="12" fillId="0" borderId="7" xfId="0" applyFont="1" applyBorder="1" applyAlignment="1">
      <alignment vertical="center"/>
    </xf>
    <xf numFmtId="3" fontId="0" fillId="0" borderId="8" xfId="0" applyNumberFormat="1" applyBorder="1" applyAlignment="1">
      <alignment vertical="center"/>
    </xf>
    <xf numFmtId="3" fontId="10" fillId="0" borderId="9" xfId="0" applyNumberFormat="1" applyFont="1" applyBorder="1" applyAlignment="1">
      <alignment vertical="center"/>
    </xf>
    <xf numFmtId="165" fontId="8" fillId="0" borderId="2" xfId="0" applyNumberFormat="1" applyFont="1" applyBorder="1" applyAlignment="1">
      <alignment horizontal="center" vertical="center"/>
    </xf>
    <xf numFmtId="9" fontId="8" fillId="0" borderId="4" xfId="0" applyNumberFormat="1" applyFont="1" applyBorder="1" applyAlignment="1">
      <alignment horizontal="left" vertical="center"/>
    </xf>
    <xf numFmtId="4" fontId="16" fillId="0" borderId="0" xfId="0" applyNumberFormat="1" applyFont="1" applyBorder="1" applyAlignment="1">
      <alignment horizontal="right" vertical="center"/>
    </xf>
    <xf numFmtId="0" fontId="0" fillId="0" borderId="2" xfId="0" applyBorder="1" applyAlignment="1">
      <alignment horizontal="left" vertical="center"/>
    </xf>
    <xf numFmtId="3" fontId="0" fillId="0" borderId="0" xfId="0" applyNumberFormat="1" applyBorder="1" applyAlignment="1">
      <alignment horizontal="right" vertical="center"/>
    </xf>
    <xf numFmtId="3" fontId="0" fillId="0" borderId="4" xfId="0" applyNumberFormat="1" applyBorder="1" applyAlignment="1">
      <alignment horizontal="right" vertical="center"/>
    </xf>
    <xf numFmtId="0" fontId="3" fillId="0" borderId="2" xfId="0" applyFont="1" applyBorder="1" applyAlignment="1">
      <alignment horizontal="left" vertical="center"/>
    </xf>
    <xf numFmtId="0" fontId="5" fillId="0" borderId="2" xfId="0" applyFont="1" applyBorder="1" applyAlignment="1" applyProtection="1">
      <alignment horizontal="left" vertical="center"/>
    </xf>
    <xf numFmtId="0" fontId="8" fillId="0" borderId="2" xfId="0" applyFont="1" applyBorder="1" applyAlignment="1">
      <alignment horizontal="left" vertical="center"/>
    </xf>
    <xf numFmtId="0" fontId="0" fillId="0" borderId="3" xfId="0" applyBorder="1" applyAlignment="1">
      <alignment horizontal="left" vertical="center"/>
    </xf>
    <xf numFmtId="3" fontId="0" fillId="0" borderId="5" xfId="0" applyNumberFormat="1" applyBorder="1" applyAlignment="1">
      <alignment vertical="center"/>
    </xf>
    <xf numFmtId="0" fontId="12" fillId="0" borderId="2" xfId="0" applyFont="1" applyBorder="1" applyAlignment="1">
      <alignment horizontal="right" vertical="center"/>
    </xf>
    <xf numFmtId="4" fontId="16" fillId="0" borderId="2" xfId="0" applyNumberFormat="1" applyFont="1" applyBorder="1" applyAlignment="1">
      <alignment horizontal="right" vertical="center"/>
    </xf>
    <xf numFmtId="0" fontId="5" fillId="0" borderId="2" xfId="0" applyFont="1" applyBorder="1" applyAlignment="1">
      <alignment horizontal="left" vertical="center"/>
    </xf>
    <xf numFmtId="0" fontId="1" fillId="0" borderId="11" xfId="0" applyFont="1" applyBorder="1" applyAlignment="1">
      <alignment horizontal="center" vertical="center"/>
    </xf>
    <xf numFmtId="0" fontId="1" fillId="0" borderId="4" xfId="0" applyFont="1" applyBorder="1" applyAlignment="1">
      <alignment vertical="center"/>
    </xf>
    <xf numFmtId="0" fontId="1" fillId="0" borderId="0" xfId="0" applyFont="1" applyBorder="1" applyAlignment="1">
      <alignment vertical="center"/>
    </xf>
    <xf numFmtId="165" fontId="1" fillId="0" borderId="2" xfId="0" applyNumberFormat="1" applyFont="1" applyBorder="1" applyAlignment="1">
      <alignment horizontal="center" vertical="center"/>
    </xf>
    <xf numFmtId="0" fontId="1" fillId="0" borderId="0"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left" vertical="center"/>
    </xf>
    <xf numFmtId="9" fontId="1" fillId="0" borderId="4" xfId="0" applyNumberFormat="1" applyFont="1" applyBorder="1" applyAlignment="1">
      <alignment horizontal="left" vertical="center"/>
    </xf>
    <xf numFmtId="3" fontId="1" fillId="0" borderId="0" xfId="0" applyNumberFormat="1" applyFont="1" applyBorder="1" applyAlignment="1">
      <alignment vertical="center"/>
    </xf>
    <xf numFmtId="15" fontId="1" fillId="0" borderId="11" xfId="0" applyNumberFormat="1" applyFont="1" applyBorder="1" applyAlignment="1">
      <alignment horizontal="center" vertical="center"/>
    </xf>
    <xf numFmtId="169" fontId="1" fillId="0" borderId="2" xfId="0" applyNumberFormat="1" applyFont="1" applyBorder="1" applyAlignment="1">
      <alignment horizontal="center" vertical="center"/>
    </xf>
    <xf numFmtId="0" fontId="1" fillId="0" borderId="0" xfId="0" quotePrefix="1" applyFont="1" applyBorder="1" applyAlignment="1">
      <alignment horizontal="center" vertical="center"/>
    </xf>
    <xf numFmtId="0" fontId="1" fillId="0" borderId="2" xfId="0" applyFont="1" applyBorder="1" applyAlignment="1">
      <alignment horizontal="center" vertical="center"/>
    </xf>
    <xf numFmtId="3" fontId="1" fillId="0" borderId="4" xfId="0" applyNumberFormat="1" applyFont="1" applyBorder="1" applyAlignment="1">
      <alignment vertical="center"/>
    </xf>
    <xf numFmtId="0" fontId="9" fillId="0" borderId="2" xfId="0" applyFont="1" applyBorder="1" applyAlignment="1">
      <alignment vertical="center"/>
    </xf>
    <xf numFmtId="166" fontId="1" fillId="0" borderId="11" xfId="0" applyNumberFormat="1" applyFont="1" applyBorder="1" applyAlignment="1">
      <alignment horizontal="center" vertical="center"/>
    </xf>
    <xf numFmtId="9" fontId="1" fillId="0" borderId="2" xfId="2" applyFont="1" applyBorder="1" applyAlignment="1">
      <alignment horizontal="center" vertical="center"/>
    </xf>
    <xf numFmtId="0" fontId="1" fillId="0" borderId="3" xfId="0" applyFont="1" applyBorder="1" applyAlignment="1">
      <alignment vertical="center"/>
    </xf>
    <xf numFmtId="15" fontId="1" fillId="0" borderId="12" xfId="0" applyNumberFormat="1" applyFont="1" applyBorder="1" applyAlignment="1">
      <alignment horizontal="center" vertical="center"/>
    </xf>
    <xf numFmtId="0" fontId="1" fillId="0" borderId="12" xfId="0" applyFont="1" applyBorder="1" applyAlignment="1">
      <alignment horizontal="center" vertical="center"/>
    </xf>
    <xf numFmtId="0" fontId="1" fillId="0" borderId="5" xfId="0" applyFont="1" applyBorder="1" applyAlignment="1">
      <alignment horizontal="center" vertical="center"/>
    </xf>
    <xf numFmtId="9" fontId="1" fillId="0" borderId="3" xfId="2" applyFont="1" applyBorder="1" applyAlignment="1">
      <alignment horizontal="center" vertical="center"/>
    </xf>
    <xf numFmtId="0" fontId="1" fillId="0" borderId="1" xfId="0" quotePrefix="1" applyFont="1" applyBorder="1" applyAlignment="1">
      <alignment horizontal="center" vertical="center"/>
    </xf>
    <xf numFmtId="0" fontId="1" fillId="0" borderId="3" xfId="0" applyFont="1" applyBorder="1" applyAlignment="1">
      <alignment horizontal="center" vertical="center"/>
    </xf>
    <xf numFmtId="3" fontId="1" fillId="0" borderId="1" xfId="0" applyNumberFormat="1" applyFont="1" applyBorder="1" applyAlignment="1">
      <alignment vertical="center"/>
    </xf>
    <xf numFmtId="3" fontId="1" fillId="0" borderId="5" xfId="0" applyNumberFormat="1" applyFont="1" applyBorder="1" applyAlignment="1">
      <alignment vertical="center"/>
    </xf>
    <xf numFmtId="165" fontId="8" fillId="0" borderId="0" xfId="0" applyNumberFormat="1" applyFont="1" applyBorder="1" applyAlignment="1">
      <alignment horizontal="center" vertical="center"/>
    </xf>
    <xf numFmtId="9" fontId="8" fillId="0" borderId="4" xfId="0" applyNumberFormat="1" applyFont="1" applyBorder="1" applyAlignment="1">
      <alignment horizontal="center" vertical="center"/>
    </xf>
    <xf numFmtId="4" fontId="4" fillId="0" borderId="0" xfId="0" applyNumberFormat="1" applyFont="1" applyBorder="1" applyAlignment="1">
      <alignment horizontal="center" vertical="center"/>
    </xf>
    <xf numFmtId="4" fontId="3" fillId="0" borderId="0" xfId="0" applyNumberFormat="1" applyFont="1" applyBorder="1" applyAlignment="1">
      <alignment horizontal="center" vertical="center"/>
    </xf>
    <xf numFmtId="0" fontId="0" fillId="0" borderId="11" xfId="0" applyFill="1" applyBorder="1" applyAlignment="1">
      <alignment horizontal="center" vertical="center"/>
    </xf>
    <xf numFmtId="4" fontId="1" fillId="0" borderId="0" xfId="0" applyNumberFormat="1" applyFont="1" applyBorder="1" applyAlignment="1">
      <alignment horizontal="center" vertical="center"/>
    </xf>
    <xf numFmtId="0" fontId="0" fillId="0" borderId="0" xfId="0" applyFill="1" applyBorder="1" applyAlignment="1">
      <alignment horizontal="center" vertical="center"/>
    </xf>
    <xf numFmtId="165" fontId="8" fillId="0" borderId="0" xfId="0" applyNumberFormat="1" applyFont="1" applyFill="1" applyBorder="1" applyAlignment="1">
      <alignment horizontal="center" vertical="center"/>
    </xf>
    <xf numFmtId="0" fontId="0" fillId="0" borderId="12" xfId="0" applyFill="1" applyBorder="1" applyAlignment="1">
      <alignment horizontal="center" vertical="center"/>
    </xf>
    <xf numFmtId="0" fontId="0" fillId="0" borderId="1" xfId="0" applyFill="1" applyBorder="1" applyAlignment="1">
      <alignment horizontal="center" vertical="center"/>
    </xf>
    <xf numFmtId="15" fontId="0" fillId="0" borderId="10" xfId="0" applyNumberFormat="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0" fontId="1" fillId="0" borderId="11" xfId="0" applyFont="1" applyFill="1" applyBorder="1" applyAlignment="1">
      <alignment horizontal="center" vertical="center"/>
    </xf>
    <xf numFmtId="0" fontId="1" fillId="0" borderId="4" xfId="0" applyFont="1" applyFill="1" applyBorder="1" applyAlignment="1">
      <alignment horizontal="center" vertical="center"/>
    </xf>
    <xf numFmtId="165" fontId="1" fillId="0" borderId="0" xfId="0" applyNumberFormat="1" applyFont="1" applyBorder="1" applyAlignment="1">
      <alignment horizontal="center" vertical="center"/>
    </xf>
    <xf numFmtId="169" fontId="1" fillId="0" borderId="0" xfId="2" applyNumberFormat="1" applyFont="1" applyBorder="1" applyAlignment="1">
      <alignment horizontal="center" vertical="center"/>
    </xf>
    <xf numFmtId="9" fontId="1" fillId="0" borderId="0" xfId="2" applyFont="1" applyBorder="1" applyAlignment="1">
      <alignment horizontal="center" vertical="center"/>
    </xf>
    <xf numFmtId="0" fontId="15" fillId="0" borderId="4" xfId="0" applyFont="1" applyBorder="1" applyAlignment="1">
      <alignment vertical="center"/>
    </xf>
    <xf numFmtId="3" fontId="1" fillId="0" borderId="0" xfId="0" applyNumberFormat="1" applyFont="1" applyBorder="1" applyAlignment="1">
      <alignment horizontal="center" vertical="center"/>
    </xf>
    <xf numFmtId="170" fontId="1" fillId="0" borderId="0" xfId="2" applyNumberFormat="1" applyFont="1" applyBorder="1" applyAlignment="1">
      <alignment horizontal="center" vertical="center"/>
    </xf>
    <xf numFmtId="3" fontId="1" fillId="0" borderId="0" xfId="0" applyNumberFormat="1" applyFont="1" applyBorder="1" applyAlignment="1">
      <alignment horizontal="right" vertical="center"/>
    </xf>
    <xf numFmtId="9" fontId="1" fillId="0" borderId="0" xfId="0" applyNumberFormat="1" applyFont="1" applyBorder="1" applyAlignment="1">
      <alignment horizontal="center" vertical="center"/>
    </xf>
    <xf numFmtId="4" fontId="1" fillId="0" borderId="0" xfId="0" applyNumberFormat="1" applyFont="1" applyBorder="1" applyAlignment="1">
      <alignment horizontal="right" vertical="center"/>
    </xf>
    <xf numFmtId="0" fontId="5" fillId="0" borderId="2" xfId="0" applyFont="1" applyBorder="1" applyAlignment="1">
      <alignment vertical="center"/>
    </xf>
    <xf numFmtId="9" fontId="15" fillId="0" borderId="0" xfId="2" applyFont="1" applyBorder="1" applyAlignment="1">
      <alignment horizontal="center" vertical="center"/>
    </xf>
    <xf numFmtId="170" fontId="15" fillId="0" borderId="0" xfId="2" applyNumberFormat="1" applyFont="1" applyBorder="1" applyAlignment="1">
      <alignment horizontal="center" vertical="center"/>
    </xf>
    <xf numFmtId="9" fontId="15" fillId="0" borderId="4" xfId="2" applyFont="1" applyBorder="1" applyAlignment="1">
      <alignment horizontal="center" vertical="center"/>
    </xf>
    <xf numFmtId="166" fontId="1" fillId="0" borderId="12" xfId="0" applyNumberFormat="1" applyFont="1" applyBorder="1" applyAlignment="1">
      <alignment horizontal="center" vertical="center"/>
    </xf>
    <xf numFmtId="0" fontId="1" fillId="0" borderId="12" xfId="0" applyFont="1" applyFill="1" applyBorder="1" applyAlignment="1">
      <alignment horizontal="center" vertical="center"/>
    </xf>
    <xf numFmtId="0" fontId="1" fillId="0" borderId="1" xfId="0" applyFont="1" applyBorder="1" applyAlignment="1">
      <alignment horizontal="center" vertical="center"/>
    </xf>
    <xf numFmtId="9" fontId="1" fillId="0" borderId="1" xfId="2" applyFont="1" applyBorder="1" applyAlignment="1">
      <alignment horizontal="center" vertical="center"/>
    </xf>
    <xf numFmtId="3" fontId="1" fillId="0" borderId="1" xfId="0" applyNumberFormat="1" applyFont="1" applyBorder="1" applyAlignment="1">
      <alignment horizontal="right" vertical="center"/>
    </xf>
    <xf numFmtId="0" fontId="0" fillId="0" borderId="8" xfId="0" applyFill="1" applyBorder="1" applyAlignment="1">
      <alignment vertical="center"/>
    </xf>
    <xf numFmtId="0" fontId="0" fillId="0" borderId="0" xfId="0" applyFill="1" applyBorder="1" applyAlignment="1">
      <alignment vertical="center"/>
    </xf>
    <xf numFmtId="0" fontId="1" fillId="0" borderId="0" xfId="0" applyFont="1" applyFill="1" applyBorder="1" applyAlignment="1">
      <alignment vertical="center"/>
    </xf>
    <xf numFmtId="0" fontId="17" fillId="0" borderId="4" xfId="0" applyFont="1" applyBorder="1" applyAlignment="1">
      <alignment horizontal="center" vertical="center"/>
    </xf>
    <xf numFmtId="0" fontId="1" fillId="0" borderId="2" xfId="0" applyFont="1" applyFill="1" applyBorder="1" applyAlignment="1">
      <alignment vertical="center"/>
    </xf>
    <xf numFmtId="166" fontId="1" fillId="0" borderId="11" xfId="0" applyNumberFormat="1" applyFont="1" applyFill="1" applyBorder="1" applyAlignment="1">
      <alignment horizontal="center" vertical="center"/>
    </xf>
    <xf numFmtId="165" fontId="1" fillId="0" borderId="0" xfId="0" applyNumberFormat="1" applyFont="1" applyFill="1" applyBorder="1" applyAlignment="1">
      <alignment horizontal="center" vertical="center"/>
    </xf>
    <xf numFmtId="3" fontId="1" fillId="0" borderId="0" xfId="0" applyNumberFormat="1" applyFont="1" applyFill="1" applyBorder="1" applyAlignment="1">
      <alignment horizontal="center" vertical="center"/>
    </xf>
    <xf numFmtId="3" fontId="1" fillId="0" borderId="0" xfId="0" applyNumberFormat="1" applyFont="1" applyFill="1" applyBorder="1" applyAlignment="1">
      <alignment vertical="center"/>
    </xf>
    <xf numFmtId="9" fontId="15" fillId="0" borderId="0" xfId="2" applyFont="1" applyFill="1" applyBorder="1" applyAlignment="1">
      <alignment horizontal="center" vertical="center"/>
    </xf>
    <xf numFmtId="3" fontId="1" fillId="0" borderId="4" xfId="0" applyNumberFormat="1" applyFont="1" applyFill="1" applyBorder="1" applyAlignment="1">
      <alignment vertical="center"/>
    </xf>
    <xf numFmtId="0" fontId="0" fillId="0" borderId="0" xfId="0" applyFill="1" applyAlignment="1">
      <alignment vertical="center"/>
    </xf>
    <xf numFmtId="166" fontId="1" fillId="0" borderId="2" xfId="0" applyNumberFormat="1" applyFont="1" applyBorder="1" applyAlignment="1">
      <alignment horizontal="center" vertical="center"/>
    </xf>
    <xf numFmtId="0" fontId="8" fillId="0" borderId="3" xfId="0" applyFont="1" applyBorder="1" applyAlignment="1">
      <alignment vertical="center"/>
    </xf>
    <xf numFmtId="166" fontId="8" fillId="0" borderId="12" xfId="0" applyNumberFormat="1" applyFont="1" applyBorder="1" applyAlignment="1">
      <alignment horizontal="center" vertical="center"/>
    </xf>
    <xf numFmtId="0" fontId="8" fillId="0" borderId="1" xfId="0" applyFont="1" applyBorder="1" applyAlignment="1">
      <alignment horizontal="center" vertical="center"/>
    </xf>
    <xf numFmtId="9" fontId="8" fillId="0" borderId="1" xfId="2" applyFont="1" applyBorder="1" applyAlignment="1">
      <alignment horizontal="center" vertical="center"/>
    </xf>
    <xf numFmtId="4" fontId="8" fillId="0" borderId="1" xfId="0" applyNumberFormat="1" applyFont="1" applyBorder="1" applyAlignment="1">
      <alignment horizontal="right" vertical="center"/>
    </xf>
    <xf numFmtId="0" fontId="8" fillId="0" borderId="7" xfId="0" applyFont="1" applyBorder="1" applyAlignment="1">
      <alignment vertical="center"/>
    </xf>
    <xf numFmtId="166" fontId="8" fillId="0" borderId="11" xfId="0" applyNumberFormat="1" applyFont="1" applyBorder="1" applyAlignment="1">
      <alignment horizontal="center" vertical="center"/>
    </xf>
    <xf numFmtId="9" fontId="8" fillId="0" borderId="0" xfId="2" applyFont="1" applyBorder="1" applyAlignment="1">
      <alignment horizontal="center" vertical="center"/>
    </xf>
    <xf numFmtId="4" fontId="8" fillId="0" borderId="0" xfId="0" applyNumberFormat="1" applyFont="1" applyBorder="1" applyAlignment="1">
      <alignment horizontal="right" vertical="center"/>
    </xf>
    <xf numFmtId="3" fontId="4" fillId="0" borderId="9" xfId="0" applyNumberFormat="1" applyFont="1" applyBorder="1" applyAlignment="1">
      <alignment vertical="center"/>
    </xf>
    <xf numFmtId="0" fontId="1" fillId="0" borderId="2" xfId="0" quotePrefix="1" applyFont="1" applyBorder="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4" fontId="1" fillId="0" borderId="4" xfId="0" applyNumberFormat="1" applyFont="1" applyBorder="1" applyAlignment="1">
      <alignment horizontal="center" vertical="center"/>
    </xf>
    <xf numFmtId="0" fontId="1" fillId="0" borderId="2" xfId="0" quotePrefix="1" applyFont="1" applyFill="1" applyBorder="1" applyAlignment="1">
      <alignment horizontal="center" vertical="center"/>
    </xf>
    <xf numFmtId="9" fontId="1" fillId="0" borderId="0" xfId="0" applyNumberFormat="1" applyFont="1" applyFill="1" applyBorder="1" applyAlignment="1">
      <alignment horizontal="center" vertical="center"/>
    </xf>
    <xf numFmtId="0" fontId="1" fillId="0" borderId="0" xfId="0" applyFont="1" applyFill="1" applyAlignment="1">
      <alignment vertical="center"/>
    </xf>
    <xf numFmtId="4" fontId="1" fillId="0" borderId="4" xfId="0" applyNumberFormat="1" applyFont="1" applyFill="1" applyBorder="1" applyAlignment="1">
      <alignment horizontal="center" vertical="center"/>
    </xf>
    <xf numFmtId="3" fontId="0" fillId="0" borderId="0" xfId="0" applyNumberFormat="1" applyFill="1" applyAlignment="1">
      <alignment vertical="center"/>
    </xf>
    <xf numFmtId="9" fontId="15" fillId="0" borderId="0" xfId="0" applyNumberFormat="1" applyFont="1" applyFill="1" applyBorder="1" applyAlignment="1">
      <alignment horizontal="center" vertical="center"/>
    </xf>
    <xf numFmtId="0" fontId="15" fillId="0" borderId="0" xfId="0" applyFont="1" applyBorder="1" applyAlignment="1">
      <alignment horizontal="center" vertical="center"/>
    </xf>
    <xf numFmtId="0" fontId="15" fillId="0" borderId="4" xfId="0" applyFont="1" applyBorder="1" applyAlignment="1">
      <alignment horizontal="center" vertical="center"/>
    </xf>
    <xf numFmtId="9" fontId="1" fillId="0" borderId="4" xfId="2" applyFont="1" applyBorder="1" applyAlignment="1">
      <alignment horizontal="center" vertical="center"/>
    </xf>
    <xf numFmtId="4" fontId="15" fillId="0" borderId="4" xfId="0" applyNumberFormat="1" applyFont="1" applyBorder="1" applyAlignment="1">
      <alignment horizontal="center" vertical="center"/>
    </xf>
    <xf numFmtId="14" fontId="1" fillId="0" borderId="2" xfId="0" applyNumberFormat="1" applyFont="1" applyBorder="1" applyAlignment="1">
      <alignment horizontal="center" vertical="center"/>
    </xf>
    <xf numFmtId="0" fontId="1" fillId="0" borderId="3" xfId="0" quotePrefix="1" applyFont="1" applyBorder="1" applyAlignment="1">
      <alignment horizontal="center" vertical="center"/>
    </xf>
    <xf numFmtId="166" fontId="1" fillId="0" borderId="3" xfId="0" applyNumberFormat="1" applyFont="1" applyBorder="1" applyAlignment="1">
      <alignment horizontal="center" vertical="center"/>
    </xf>
    <xf numFmtId="9" fontId="1" fillId="0" borderId="5" xfId="2" applyFont="1" applyBorder="1" applyAlignment="1">
      <alignment horizontal="center" vertical="center"/>
    </xf>
    <xf numFmtId="0" fontId="4" fillId="0" borderId="7" xfId="0" quotePrefix="1" applyFont="1" applyBorder="1" applyAlignment="1">
      <alignment horizontal="center" vertical="center"/>
    </xf>
    <xf numFmtId="166" fontId="8" fillId="0" borderId="10" xfId="0" applyNumberFormat="1" applyFont="1" applyBorder="1" applyAlignment="1">
      <alignment horizontal="center" vertical="center"/>
    </xf>
    <xf numFmtId="0" fontId="8" fillId="0" borderId="10" xfId="0" applyFont="1" applyBorder="1" applyAlignment="1">
      <alignment horizontal="center" vertical="center"/>
    </xf>
    <xf numFmtId="9" fontId="4" fillId="0" borderId="0" xfId="2" applyFont="1" applyBorder="1" applyAlignment="1">
      <alignment horizontal="center" vertical="center"/>
    </xf>
    <xf numFmtId="9" fontId="4" fillId="0" borderId="4" xfId="2" applyFont="1" applyBorder="1" applyAlignment="1">
      <alignment horizontal="center" vertical="center"/>
    </xf>
    <xf numFmtId="4" fontId="4" fillId="0" borderId="0" xfId="0" applyNumberFormat="1" applyFont="1" applyBorder="1" applyAlignment="1">
      <alignment horizontal="right" vertical="center"/>
    </xf>
    <xf numFmtId="0" fontId="20" fillId="0" borderId="2" xfId="0" applyFont="1" applyBorder="1" applyAlignment="1">
      <alignment horizontal="center" vertical="center"/>
    </xf>
    <xf numFmtId="0" fontId="15" fillId="0" borderId="0" xfId="0" applyFont="1" applyFill="1" applyBorder="1" applyAlignment="1">
      <alignment horizontal="center" vertical="center"/>
    </xf>
    <xf numFmtId="0" fontId="5" fillId="0" borderId="2" xfId="0" applyFont="1" applyFill="1" applyBorder="1" applyAlignment="1">
      <alignment vertical="center"/>
    </xf>
    <xf numFmtId="3" fontId="5" fillId="0" borderId="4" xfId="0" applyNumberFormat="1" applyFont="1" applyFill="1" applyBorder="1" applyAlignment="1">
      <alignment vertical="center"/>
    </xf>
    <xf numFmtId="9" fontId="15" fillId="0" borderId="4" xfId="2" applyFont="1" applyFill="1" applyBorder="1" applyAlignment="1">
      <alignment horizontal="center" vertical="center"/>
    </xf>
    <xf numFmtId="3" fontId="1" fillId="0" borderId="0" xfId="0" applyNumberFormat="1" applyFont="1" applyFill="1" applyAlignment="1">
      <alignment vertical="center"/>
    </xf>
    <xf numFmtId="0" fontId="4" fillId="0" borderId="3" xfId="0" applyFont="1" applyFill="1" applyBorder="1" applyAlignment="1">
      <alignment horizontal="center" vertical="center"/>
    </xf>
    <xf numFmtId="166" fontId="4" fillId="0" borderId="12" xfId="0" applyNumberFormat="1" applyFont="1" applyFill="1" applyBorder="1" applyAlignment="1">
      <alignment horizontal="center" vertical="center"/>
    </xf>
    <xf numFmtId="0" fontId="8" fillId="0" borderId="12" xfId="0" applyFont="1" applyFill="1" applyBorder="1" applyAlignment="1">
      <alignment horizontal="center" vertical="center"/>
    </xf>
    <xf numFmtId="0" fontId="0" fillId="0" borderId="1" xfId="0" applyFill="1" applyBorder="1" applyAlignment="1">
      <alignment vertical="center"/>
    </xf>
    <xf numFmtId="0" fontId="8" fillId="0" borderId="1" xfId="0" applyFont="1" applyFill="1" applyBorder="1" applyAlignment="1">
      <alignment horizontal="center" vertical="center"/>
    </xf>
    <xf numFmtId="0" fontId="4" fillId="0" borderId="1" xfId="0" applyFont="1" applyFill="1" applyBorder="1" applyAlignment="1">
      <alignment horizontal="center" vertical="center"/>
    </xf>
    <xf numFmtId="9" fontId="4" fillId="0" borderId="1" xfId="2" applyFont="1" applyFill="1" applyBorder="1" applyAlignment="1">
      <alignment horizontal="center" vertical="center"/>
    </xf>
    <xf numFmtId="9" fontId="4" fillId="0" borderId="5" xfId="2" applyFont="1" applyFill="1" applyBorder="1" applyAlignment="1">
      <alignment horizontal="center" vertical="center"/>
    </xf>
    <xf numFmtId="4" fontId="4" fillId="0" borderId="1" xfId="0" applyNumberFormat="1" applyFont="1" applyFill="1" applyBorder="1" applyAlignment="1">
      <alignment horizontal="right" vertical="center"/>
    </xf>
    <xf numFmtId="3" fontId="4" fillId="0" borderId="5" xfId="0" applyNumberFormat="1" applyFont="1" applyFill="1" applyBorder="1" applyAlignment="1">
      <alignment vertical="center"/>
    </xf>
    <xf numFmtId="0" fontId="4" fillId="0" borderId="2" xfId="0" applyFont="1" applyFill="1" applyBorder="1" applyAlignment="1">
      <alignment horizontal="center" vertical="center"/>
    </xf>
    <xf numFmtId="166" fontId="4" fillId="0" borderId="11" xfId="0" applyNumberFormat="1" applyFont="1" applyFill="1" applyBorder="1" applyAlignment="1">
      <alignment horizontal="center" vertical="center"/>
    </xf>
    <xf numFmtId="0" fontId="8" fillId="0" borderId="11" xfId="0" applyFont="1" applyFill="1" applyBorder="1" applyAlignment="1">
      <alignment horizontal="center" vertical="center"/>
    </xf>
    <xf numFmtId="0" fontId="0" fillId="0" borderId="11" xfId="0" applyFill="1" applyBorder="1" applyAlignment="1">
      <alignment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8" fillId="0" borderId="10" xfId="0" applyFont="1" applyFill="1" applyBorder="1" applyAlignment="1">
      <alignment horizontal="center" vertical="center"/>
    </xf>
    <xf numFmtId="0" fontId="4" fillId="0" borderId="0" xfId="0" applyFont="1" applyFill="1" applyBorder="1" applyAlignment="1">
      <alignment horizontal="center" vertical="center"/>
    </xf>
    <xf numFmtId="9" fontId="4" fillId="0" borderId="0" xfId="2" applyFont="1" applyFill="1" applyBorder="1" applyAlignment="1">
      <alignment horizontal="center" vertical="center"/>
    </xf>
    <xf numFmtId="9" fontId="4" fillId="0" borderId="4" xfId="2" applyFont="1" applyFill="1" applyBorder="1" applyAlignment="1">
      <alignment horizontal="center" vertical="center"/>
    </xf>
    <xf numFmtId="4" fontId="4" fillId="0" borderId="0" xfId="0" applyNumberFormat="1" applyFont="1" applyFill="1" applyBorder="1" applyAlignment="1">
      <alignment horizontal="right" vertical="center"/>
    </xf>
    <xf numFmtId="3" fontId="4" fillId="0" borderId="4" xfId="0" applyNumberFormat="1" applyFont="1" applyFill="1" applyBorder="1" applyAlignment="1">
      <alignment vertical="center"/>
    </xf>
    <xf numFmtId="3" fontId="10" fillId="0" borderId="4" xfId="0" applyNumberFormat="1" applyFont="1" applyFill="1" applyBorder="1" applyAlignment="1">
      <alignment vertical="center"/>
    </xf>
    <xf numFmtId="0" fontId="5" fillId="0" borderId="2" xfId="0" applyFont="1" applyFill="1" applyBorder="1" applyAlignment="1" applyProtection="1">
      <alignment vertical="center"/>
    </xf>
    <xf numFmtId="4" fontId="1" fillId="0" borderId="0" xfId="0" applyNumberFormat="1" applyFont="1" applyFill="1" applyBorder="1" applyAlignment="1">
      <alignment horizontal="right" vertical="center"/>
    </xf>
    <xf numFmtId="10" fontId="1" fillId="0" borderId="2" xfId="0" applyNumberFormat="1" applyFont="1" applyFill="1" applyBorder="1" applyAlignment="1">
      <alignment horizontal="center" vertical="center"/>
    </xf>
    <xf numFmtId="10" fontId="15" fillId="0" borderId="2" xfId="0" applyNumberFormat="1" applyFont="1" applyFill="1" applyBorder="1" applyAlignment="1">
      <alignment horizontal="center" vertical="center"/>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9" fontId="15" fillId="0" borderId="2" xfId="2" applyFont="1" applyFill="1" applyBorder="1" applyAlignment="1">
      <alignment horizontal="center" vertical="center"/>
    </xf>
    <xf numFmtId="15" fontId="0" fillId="0" borderId="3" xfId="0" applyNumberFormat="1" applyFill="1" applyBorder="1" applyAlignment="1">
      <alignment vertical="center"/>
    </xf>
    <xf numFmtId="0" fontId="0" fillId="0" borderId="5" xfId="0" applyFill="1" applyBorder="1" applyAlignment="1">
      <alignment horizontal="center" vertical="center"/>
    </xf>
    <xf numFmtId="0" fontId="0" fillId="0" borderId="3" xfId="0" applyFill="1" applyBorder="1" applyAlignment="1">
      <alignment horizontal="center" vertical="center"/>
    </xf>
    <xf numFmtId="3" fontId="0" fillId="0" borderId="1" xfId="0" applyNumberFormat="1" applyFill="1" applyBorder="1" applyAlignment="1">
      <alignment vertical="center"/>
    </xf>
    <xf numFmtId="15" fontId="0" fillId="0" borderId="2" xfId="0" applyNumberFormat="1" applyFill="1" applyBorder="1" applyAlignment="1">
      <alignment vertical="center"/>
    </xf>
    <xf numFmtId="0" fontId="0" fillId="0" borderId="4" xfId="0" applyFill="1" applyBorder="1" applyAlignment="1">
      <alignment horizontal="center" vertical="center"/>
    </xf>
    <xf numFmtId="0" fontId="0" fillId="0" borderId="2" xfId="0" applyFill="1" applyBorder="1" applyAlignment="1">
      <alignment horizontal="center" vertical="center"/>
    </xf>
    <xf numFmtId="15" fontId="1" fillId="0" borderId="2" xfId="0" applyNumberFormat="1" applyFont="1" applyFill="1" applyBorder="1" applyAlignment="1">
      <alignment vertical="center"/>
    </xf>
    <xf numFmtId="9" fontId="22" fillId="0" borderId="0" xfId="2" applyFont="1" applyFill="1" applyBorder="1" applyAlignment="1">
      <alignment horizontal="center" vertical="center"/>
    </xf>
    <xf numFmtId="9" fontId="22" fillId="0" borderId="4" xfId="2" applyFont="1" applyFill="1" applyBorder="1" applyAlignment="1">
      <alignment horizontal="center" vertical="center"/>
    </xf>
    <xf numFmtId="0" fontId="8" fillId="0" borderId="2" xfId="0" applyFont="1" applyFill="1" applyBorder="1" applyAlignment="1">
      <alignment horizontal="center" vertical="center"/>
    </xf>
    <xf numFmtId="166" fontId="8" fillId="0" borderId="2" xfId="0" applyNumberFormat="1" applyFont="1" applyFill="1" applyBorder="1" applyAlignment="1">
      <alignment horizontal="center" vertical="center"/>
    </xf>
    <xf numFmtId="9" fontId="8" fillId="0" borderId="4" xfId="2" applyFont="1" applyFill="1" applyBorder="1" applyAlignment="1">
      <alignment horizontal="center" vertical="center"/>
    </xf>
    <xf numFmtId="3" fontId="8" fillId="0" borderId="0" xfId="0" applyNumberFormat="1" applyFont="1" applyFill="1" applyBorder="1" applyAlignment="1">
      <alignment horizontal="right" vertical="center"/>
    </xf>
    <xf numFmtId="3" fontId="8" fillId="0" borderId="4" xfId="0" applyNumberFormat="1" applyFont="1" applyFill="1" applyBorder="1" applyAlignment="1">
      <alignment horizontal="right" vertical="center"/>
    </xf>
    <xf numFmtId="3" fontId="0" fillId="0" borderId="0" xfId="0" applyNumberFormat="1" applyFill="1" applyBorder="1" applyAlignment="1">
      <alignment vertical="center"/>
    </xf>
    <xf numFmtId="166" fontId="1" fillId="0" borderId="0" xfId="0" applyNumberFormat="1" applyFont="1" applyFill="1" applyBorder="1" applyAlignment="1">
      <alignment horizontal="center" vertical="center"/>
    </xf>
    <xf numFmtId="9" fontId="1" fillId="0" borderId="2" xfId="0" applyNumberFormat="1" applyFont="1" applyFill="1" applyBorder="1" applyAlignment="1">
      <alignment horizontal="center" vertical="center"/>
    </xf>
    <xf numFmtId="9" fontId="1" fillId="0" borderId="2" xfId="0" applyNumberFormat="1" applyFont="1" applyFill="1" applyBorder="1" applyAlignment="1">
      <alignment horizontal="center" vertical="center" wrapText="1"/>
    </xf>
    <xf numFmtId="0" fontId="22" fillId="0" borderId="0" xfId="0" applyFont="1" applyFill="1" applyBorder="1" applyAlignment="1">
      <alignment horizontal="center" vertical="center"/>
    </xf>
    <xf numFmtId="0" fontId="22" fillId="0" borderId="4" xfId="0" applyFont="1" applyFill="1" applyBorder="1" applyAlignment="1">
      <alignment horizontal="center" vertical="center"/>
    </xf>
    <xf numFmtId="0" fontId="23" fillId="0" borderId="2" xfId="0" applyFont="1" applyFill="1" applyBorder="1" applyAlignment="1">
      <alignment horizontal="center" vertical="center" wrapText="1"/>
    </xf>
    <xf numFmtId="0" fontId="5" fillId="0" borderId="12" xfId="0" applyFont="1" applyFill="1" applyBorder="1" applyAlignment="1" applyProtection="1">
      <alignment vertical="center"/>
    </xf>
    <xf numFmtId="15" fontId="0" fillId="0" borderId="12" xfId="0" applyNumberFormat="1" applyFill="1" applyBorder="1" applyAlignment="1">
      <alignment horizontal="center" vertical="center"/>
    </xf>
    <xf numFmtId="3" fontId="5" fillId="0" borderId="5" xfId="0" applyNumberFormat="1" applyFont="1" applyFill="1" applyBorder="1" applyAlignment="1">
      <alignment vertical="center"/>
    </xf>
    <xf numFmtId="0" fontId="0" fillId="0" borderId="7" xfId="0" applyFill="1" applyBorder="1" applyAlignment="1">
      <alignment vertical="center"/>
    </xf>
    <xf numFmtId="3" fontId="0" fillId="0" borderId="8" xfId="0" applyNumberFormat="1" applyFill="1" applyBorder="1" applyAlignment="1">
      <alignment vertical="center"/>
    </xf>
    <xf numFmtId="15" fontId="0" fillId="0" borderId="11" xfId="0" applyNumberFormat="1" applyFill="1" applyBorder="1" applyAlignment="1">
      <alignment vertical="center"/>
    </xf>
    <xf numFmtId="15" fontId="1" fillId="0" borderId="11" xfId="0" applyNumberFormat="1" applyFont="1" applyFill="1" applyBorder="1" applyAlignment="1">
      <alignment vertical="center"/>
    </xf>
    <xf numFmtId="0" fontId="5" fillId="0" borderId="3" xfId="0" applyFont="1" applyFill="1" applyBorder="1" applyAlignment="1" applyProtection="1">
      <alignment vertical="center"/>
    </xf>
    <xf numFmtId="0" fontId="5" fillId="0" borderId="11" xfId="0" applyFont="1" applyFill="1" applyBorder="1" applyAlignment="1">
      <alignment horizontal="left" vertical="center"/>
    </xf>
    <xf numFmtId="0" fontId="3" fillId="0" borderId="0" xfId="0" applyFont="1" applyFill="1" applyBorder="1" applyAlignment="1">
      <alignment horizontal="center" vertical="center" wrapText="1"/>
    </xf>
    <xf numFmtId="0" fontId="1" fillId="0" borderId="0" xfId="0" quotePrefix="1" applyFont="1" applyFill="1" applyBorder="1" applyAlignment="1">
      <alignment horizontal="center" vertical="center"/>
    </xf>
    <xf numFmtId="9" fontId="3" fillId="0" borderId="0" xfId="2" applyFont="1" applyFill="1" applyBorder="1" applyAlignment="1">
      <alignment horizontal="center" vertical="center"/>
    </xf>
    <xf numFmtId="0" fontId="5" fillId="0" borderId="11" xfId="0" applyFont="1" applyFill="1" applyBorder="1" applyAlignment="1" applyProtection="1">
      <alignment vertical="center"/>
    </xf>
    <xf numFmtId="0" fontId="22" fillId="0" borderId="0" xfId="0" applyFont="1" applyFill="1" applyBorder="1" applyAlignment="1">
      <alignment horizontal="center" vertical="center" wrapText="1"/>
    </xf>
    <xf numFmtId="9" fontId="1" fillId="0" borderId="0" xfId="0" applyNumberFormat="1" applyFont="1" applyFill="1" applyBorder="1" applyAlignment="1">
      <alignment horizontal="center" vertical="center" wrapText="1"/>
    </xf>
    <xf numFmtId="10" fontId="1" fillId="0" borderId="0" xfId="0" applyNumberFormat="1" applyFont="1" applyFill="1" applyBorder="1" applyAlignment="1">
      <alignment horizontal="center" vertical="center"/>
    </xf>
    <xf numFmtId="0" fontId="5" fillId="0" borderId="11" xfId="0" applyFont="1" applyFill="1" applyBorder="1" applyAlignment="1">
      <alignment vertical="center"/>
    </xf>
    <xf numFmtId="12" fontId="1" fillId="0" borderId="0" xfId="2" applyNumberFormat="1" applyFont="1" applyFill="1" applyBorder="1" applyAlignment="1">
      <alignment horizontal="center" vertical="center"/>
    </xf>
    <xf numFmtId="0" fontId="1" fillId="0" borderId="1" xfId="0" applyFont="1" applyFill="1" applyBorder="1" applyAlignment="1">
      <alignment horizontal="center" vertical="center" wrapText="1"/>
    </xf>
    <xf numFmtId="9" fontId="1" fillId="0" borderId="1" xfId="2" applyFont="1" applyFill="1" applyBorder="1" applyAlignment="1">
      <alignment horizontal="center" vertical="center"/>
    </xf>
    <xf numFmtId="0" fontId="8" fillId="0" borderId="3" xfId="0" applyFont="1" applyFill="1" applyBorder="1" applyAlignment="1">
      <alignment horizontal="center" vertical="center"/>
    </xf>
    <xf numFmtId="3" fontId="8" fillId="0" borderId="1" xfId="0" applyNumberFormat="1" applyFont="1" applyFill="1" applyBorder="1" applyAlignment="1">
      <alignment horizontal="right" vertical="center"/>
    </xf>
    <xf numFmtId="3" fontId="8" fillId="0" borderId="5" xfId="0" applyNumberFormat="1" applyFont="1" applyFill="1" applyBorder="1" applyAlignment="1">
      <alignment horizontal="right" vertical="center"/>
    </xf>
    <xf numFmtId="166" fontId="8" fillId="0" borderId="11" xfId="0" applyNumberFormat="1" applyFont="1" applyFill="1" applyBorder="1" applyAlignment="1">
      <alignment horizontal="center" vertical="center"/>
    </xf>
    <xf numFmtId="0" fontId="8" fillId="0" borderId="0" xfId="0" applyFont="1" applyFill="1" applyBorder="1" applyAlignment="1">
      <alignment horizontal="center" vertical="center" wrapText="1"/>
    </xf>
    <xf numFmtId="9" fontId="8" fillId="0" borderId="0" xfId="2" applyFont="1" applyFill="1" applyBorder="1" applyAlignment="1">
      <alignment horizontal="center" vertical="center"/>
    </xf>
    <xf numFmtId="166" fontId="8" fillId="0" borderId="12" xfId="0" applyNumberFormat="1" applyFont="1" applyFill="1" applyBorder="1" applyAlignment="1">
      <alignment horizontal="center" vertical="center"/>
    </xf>
    <xf numFmtId="9" fontId="8" fillId="0" borderId="1" xfId="2" applyFont="1" applyFill="1" applyBorder="1" applyAlignment="1">
      <alignment horizontal="center" vertical="center"/>
    </xf>
    <xf numFmtId="4" fontId="8" fillId="0" borderId="1" xfId="0" applyNumberFormat="1" applyFont="1" applyFill="1" applyBorder="1" applyAlignment="1">
      <alignment horizontal="right" vertical="center"/>
    </xf>
    <xf numFmtId="4" fontId="8" fillId="0" borderId="5" xfId="0" applyNumberFormat="1" applyFont="1" applyFill="1" applyBorder="1" applyAlignment="1">
      <alignment horizontal="right" vertical="center"/>
    </xf>
    <xf numFmtId="0" fontId="12" fillId="0" borderId="11" xfId="0" applyFont="1" applyFill="1" applyBorder="1" applyAlignment="1">
      <alignment vertical="center"/>
    </xf>
    <xf numFmtId="0" fontId="8" fillId="0" borderId="2" xfId="0" applyFont="1" applyFill="1" applyBorder="1" applyAlignment="1">
      <alignment horizontal="center" vertical="center" wrapText="1"/>
    </xf>
    <xf numFmtId="4" fontId="8" fillId="0" borderId="0" xfId="0" applyNumberFormat="1" applyFont="1" applyFill="1" applyBorder="1" applyAlignment="1">
      <alignment horizontal="right" vertical="center"/>
    </xf>
    <xf numFmtId="4" fontId="8" fillId="0" borderId="4" xfId="0" applyNumberFormat="1" applyFont="1" applyFill="1" applyBorder="1" applyAlignment="1">
      <alignment horizontal="right" vertical="center"/>
    </xf>
    <xf numFmtId="4" fontId="1" fillId="0" borderId="4" xfId="0" applyNumberFormat="1" applyFont="1" applyFill="1" applyBorder="1" applyAlignment="1">
      <alignment horizontal="right" vertical="center"/>
    </xf>
    <xf numFmtId="166" fontId="8" fillId="0" borderId="4" xfId="0" applyNumberFormat="1" applyFont="1" applyFill="1" applyBorder="1" applyAlignment="1">
      <alignment horizontal="center" vertical="center"/>
    </xf>
    <xf numFmtId="166" fontId="1" fillId="0" borderId="4" xfId="0" applyNumberFormat="1" applyFont="1" applyFill="1" applyBorder="1" applyAlignment="1">
      <alignment horizontal="center" vertical="center"/>
    </xf>
    <xf numFmtId="10" fontId="1" fillId="0" borderId="3"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4" fontId="8" fillId="0" borderId="1" xfId="0" applyNumberFormat="1" applyFont="1" applyBorder="1" applyAlignment="1">
      <alignment horizontal="center" vertical="center" wrapText="1"/>
    </xf>
    <xf numFmtId="0" fontId="1" fillId="0" borderId="10" xfId="0" applyFont="1" applyFill="1" applyBorder="1" applyAlignment="1">
      <alignment horizontal="center" vertical="center"/>
    </xf>
    <xf numFmtId="2" fontId="8" fillId="0" borderId="10" xfId="0" applyNumberFormat="1" applyFont="1" applyFill="1" applyBorder="1" applyAlignment="1">
      <alignment horizontal="center" vertical="center" wrapText="1"/>
    </xf>
    <xf numFmtId="4" fontId="8" fillId="0" borderId="0" xfId="0" applyNumberFormat="1" applyFont="1" applyBorder="1" applyAlignment="1">
      <alignment horizontal="center" vertical="center" wrapText="1"/>
    </xf>
    <xf numFmtId="10" fontId="8" fillId="0" borderId="0" xfId="0" quotePrefix="1" applyNumberFormat="1" applyFont="1" applyBorder="1" applyAlignment="1">
      <alignment horizontal="center" vertical="center"/>
    </xf>
    <xf numFmtId="9" fontId="24" fillId="0" borderId="0" xfId="2" applyFont="1" applyBorder="1" applyAlignment="1">
      <alignment horizontal="center" vertical="center"/>
    </xf>
    <xf numFmtId="166" fontId="8" fillId="0" borderId="11" xfId="0" quotePrefix="1" applyNumberFormat="1" applyFont="1" applyFill="1" applyBorder="1" applyAlignment="1">
      <alignment horizontal="center" vertical="center"/>
    </xf>
    <xf numFmtId="2" fontId="8" fillId="0" borderId="11" xfId="0" applyNumberFormat="1" applyFont="1" applyFill="1" applyBorder="1" applyAlignment="1">
      <alignment horizontal="center" vertical="center" wrapText="1"/>
    </xf>
    <xf numFmtId="4" fontId="1" fillId="0" borderId="0" xfId="0" applyNumberFormat="1" applyFont="1" applyBorder="1" applyAlignment="1">
      <alignment horizontal="center" vertical="center" wrapText="1"/>
    </xf>
    <xf numFmtId="3" fontId="9" fillId="0" borderId="4" xfId="0" applyNumberFormat="1" applyFont="1" applyFill="1" applyBorder="1" applyAlignment="1">
      <alignment vertical="center"/>
    </xf>
    <xf numFmtId="166" fontId="8" fillId="0" borderId="0" xfId="0" quotePrefix="1" applyNumberFormat="1" applyFont="1" applyFill="1" applyBorder="1" applyAlignment="1">
      <alignment horizontal="center" vertical="center"/>
    </xf>
    <xf numFmtId="0" fontId="7" fillId="0" borderId="0" xfId="0" applyFont="1" applyFill="1" applyBorder="1" applyAlignment="1">
      <alignment vertical="center"/>
    </xf>
    <xf numFmtId="15" fontId="4" fillId="0" borderId="0" xfId="0" applyNumberFormat="1" applyFont="1" applyFill="1" applyBorder="1" applyAlignment="1">
      <alignment horizontal="center" vertical="center"/>
    </xf>
    <xf numFmtId="0" fontId="4" fillId="0" borderId="0" xfId="0" applyFont="1" applyFill="1" applyBorder="1" applyAlignment="1">
      <alignment horizontal="left" vertical="center"/>
    </xf>
    <xf numFmtId="3" fontId="4" fillId="0" borderId="0" xfId="0" applyNumberFormat="1" applyFont="1" applyFill="1" applyBorder="1" applyAlignment="1">
      <alignment horizontal="left" vertical="center"/>
    </xf>
    <xf numFmtId="0" fontId="15" fillId="0" borderId="0" xfId="0" applyFont="1" applyFill="1" applyBorder="1" applyAlignment="1">
      <alignment vertical="center"/>
    </xf>
    <xf numFmtId="0" fontId="15" fillId="0" borderId="0" xfId="0" quotePrefix="1" applyFont="1" applyFill="1" applyBorder="1" applyAlignment="1">
      <alignment vertical="center"/>
    </xf>
    <xf numFmtId="15" fontId="8" fillId="0" borderId="0" xfId="0" applyNumberFormat="1" applyFont="1" applyFill="1" applyBorder="1" applyAlignment="1">
      <alignment horizontal="center" vertical="center"/>
    </xf>
    <xf numFmtId="0" fontId="18" fillId="0" borderId="0" xfId="0" applyFont="1" applyFill="1" applyBorder="1" applyAlignment="1">
      <alignment vertical="center"/>
    </xf>
    <xf numFmtId="167" fontId="8" fillId="0" borderId="0" xfId="0" applyNumberFormat="1" applyFont="1" applyFill="1" applyBorder="1" applyAlignment="1">
      <alignment horizontal="center" vertical="center"/>
    </xf>
    <xf numFmtId="9" fontId="8" fillId="0" borderId="0" xfId="0" applyNumberFormat="1" applyFont="1" applyFill="1" applyBorder="1" applyAlignment="1">
      <alignment horizontal="left" vertical="center"/>
    </xf>
    <xf numFmtId="10" fontId="8" fillId="0" borderId="0" xfId="0" applyNumberFormat="1" applyFont="1" applyFill="1" applyBorder="1" applyAlignment="1">
      <alignment horizontal="center" vertical="center"/>
    </xf>
    <xf numFmtId="168" fontId="8" fillId="0" borderId="0" xfId="1" applyNumberFormat="1" applyFont="1" applyFill="1" applyBorder="1" applyAlignment="1">
      <alignment horizontal="left" vertical="center"/>
    </xf>
    <xf numFmtId="4" fontId="16" fillId="0" borderId="0" xfId="0" applyNumberFormat="1" applyFont="1" applyFill="1" applyBorder="1" applyAlignment="1">
      <alignment horizontal="right" vertical="center"/>
    </xf>
    <xf numFmtId="15" fontId="0" fillId="0" borderId="0" xfId="0" applyNumberFormat="1" applyFill="1" applyBorder="1" applyAlignment="1">
      <alignment horizontal="center" vertical="center"/>
    </xf>
    <xf numFmtId="0" fontId="15" fillId="0" borderId="0" xfId="0" applyFont="1" applyFill="1" applyAlignment="1">
      <alignment vertical="center"/>
    </xf>
    <xf numFmtId="0" fontId="4" fillId="0" borderId="0" xfId="0" applyFont="1" applyFill="1" applyAlignment="1">
      <alignment vertical="center"/>
    </xf>
    <xf numFmtId="15" fontId="0" fillId="0" borderId="0" xfId="0" applyNumberFormat="1" applyFill="1" applyAlignment="1">
      <alignment vertical="center"/>
    </xf>
    <xf numFmtId="0" fontId="0" fillId="0" borderId="0" xfId="0" applyFill="1" applyAlignment="1">
      <alignment horizontal="center" vertical="center"/>
    </xf>
    <xf numFmtId="0" fontId="15" fillId="0" borderId="0" xfId="0" quotePrefix="1" applyFont="1" applyFill="1" applyAlignment="1">
      <alignment horizontal="left" vertical="center"/>
    </xf>
    <xf numFmtId="0" fontId="4" fillId="0" borderId="0" xfId="0" quotePrefix="1" applyFont="1" applyFill="1" applyAlignment="1">
      <alignment horizontal="left" vertical="center"/>
    </xf>
    <xf numFmtId="0" fontId="15" fillId="0" borderId="0" xfId="0" quotePrefix="1" applyFont="1" applyFill="1" applyAlignment="1">
      <alignment vertical="center"/>
    </xf>
    <xf numFmtId="0" fontId="4" fillId="0" borderId="0" xfId="0" applyFont="1" applyFill="1" applyAlignment="1">
      <alignment horizontal="center" vertical="center"/>
    </xf>
    <xf numFmtId="15" fontId="8" fillId="0" borderId="0" xfId="0" applyNumberFormat="1" applyFont="1" applyFill="1" applyBorder="1" applyAlignment="1">
      <alignment vertical="center"/>
    </xf>
    <xf numFmtId="15" fontId="1" fillId="0" borderId="0" xfId="0" applyNumberFormat="1" applyFont="1" applyFill="1" applyAlignment="1">
      <alignment vertical="center"/>
    </xf>
    <xf numFmtId="0" fontId="3" fillId="0" borderId="0" xfId="0" applyFont="1" applyFill="1" applyAlignment="1">
      <alignment vertical="center"/>
    </xf>
    <xf numFmtId="0" fontId="3" fillId="0" borderId="0" xfId="0" applyFont="1" applyFill="1" applyBorder="1" applyAlignment="1">
      <alignment vertical="center"/>
    </xf>
    <xf numFmtId="3" fontId="1" fillId="0" borderId="0" xfId="0" applyNumberFormat="1" applyFont="1" applyAlignment="1">
      <alignment vertical="center"/>
    </xf>
    <xf numFmtId="0" fontId="22" fillId="0" borderId="0" xfId="0" quotePrefix="1" applyFont="1" applyAlignment="1">
      <alignment vertical="center"/>
    </xf>
    <xf numFmtId="15" fontId="1" fillId="0" borderId="0" xfId="0" applyNumberFormat="1" applyFont="1" applyAlignment="1">
      <alignment vertical="center"/>
    </xf>
    <xf numFmtId="0" fontId="23" fillId="0" borderId="0" xfId="0" quotePrefix="1" applyFont="1" applyAlignment="1">
      <alignment vertical="center"/>
    </xf>
    <xf numFmtId="0" fontId="3" fillId="0" borderId="0" xfId="0" applyFont="1" applyAlignment="1">
      <alignment vertical="center"/>
    </xf>
    <xf numFmtId="0" fontId="1" fillId="0" borderId="0" xfId="0" applyFont="1" applyAlignment="1">
      <alignment vertical="center" wrapText="1"/>
    </xf>
    <xf numFmtId="0" fontId="19" fillId="0" borderId="0" xfId="0" quotePrefix="1" applyFont="1" applyAlignment="1">
      <alignment vertical="center"/>
    </xf>
    <xf numFmtId="0" fontId="1" fillId="0" borderId="0"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0" xfId="0" applyFont="1" applyFill="1" applyBorder="1" applyAlignment="1">
      <alignment horizontal="center" vertical="center"/>
    </xf>
    <xf numFmtId="166"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171" fontId="1" fillId="0" borderId="2" xfId="0" applyNumberFormat="1" applyFont="1" applyFill="1" applyBorder="1" applyAlignment="1">
      <alignment horizontal="center" vertical="center" wrapText="1"/>
    </xf>
    <xf numFmtId="0" fontId="22" fillId="0" borderId="2" xfId="0" applyFont="1" applyFill="1" applyBorder="1" applyAlignment="1">
      <alignment horizontal="center" vertical="center" wrapText="1"/>
    </xf>
    <xf numFmtId="0" fontId="1" fillId="0" borderId="2" xfId="0" applyFont="1" applyBorder="1" applyAlignment="1" applyProtection="1">
      <alignment vertical="center"/>
    </xf>
    <xf numFmtId="0" fontId="25" fillId="0" borderId="2" xfId="0" applyFont="1" applyBorder="1" applyAlignment="1" applyProtection="1">
      <alignment vertical="center"/>
    </xf>
    <xf numFmtId="0" fontId="1" fillId="0" borderId="2" xfId="0" applyFont="1" applyBorder="1" applyAlignment="1" applyProtection="1">
      <alignment horizontal="left" vertical="center"/>
    </xf>
    <xf numFmtId="0" fontId="1" fillId="0" borderId="3" xfId="0" applyFont="1" applyBorder="1" applyAlignment="1" applyProtection="1">
      <alignment horizontal="left" vertical="center"/>
    </xf>
    <xf numFmtId="0" fontId="25" fillId="0" borderId="2" xfId="0" applyFont="1" applyFill="1" applyBorder="1" applyAlignment="1" applyProtection="1">
      <alignment vertical="center"/>
    </xf>
    <xf numFmtId="15" fontId="11" fillId="0" borderId="11" xfId="0" applyNumberFormat="1" applyFont="1" applyBorder="1" applyAlignment="1" applyProtection="1">
      <alignment horizontal="center" vertical="center"/>
    </xf>
    <xf numFmtId="0" fontId="1" fillId="0" borderId="3" xfId="0" applyFont="1" applyBorder="1" applyAlignment="1" applyProtection="1">
      <alignment vertical="center"/>
    </xf>
    <xf numFmtId="0" fontId="25" fillId="0" borderId="3" xfId="0" applyFont="1" applyBorder="1" applyAlignment="1" applyProtection="1">
      <alignment vertical="center"/>
    </xf>
    <xf numFmtId="0" fontId="1" fillId="0" borderId="2" xfId="0" applyFont="1" applyFill="1" applyBorder="1" applyAlignment="1" applyProtection="1">
      <alignment vertical="center"/>
    </xf>
    <xf numFmtId="0" fontId="1" fillId="0" borderId="4" xfId="0" applyFont="1" applyFill="1" applyBorder="1" applyAlignment="1">
      <alignment vertical="center" wrapText="1"/>
    </xf>
    <xf numFmtId="3" fontId="1" fillId="0" borderId="0" xfId="0" applyNumberFormat="1" applyFont="1" applyFill="1" applyBorder="1" applyAlignment="1">
      <alignment vertical="center" wrapText="1"/>
    </xf>
    <xf numFmtId="0" fontId="3" fillId="2" borderId="1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15" fontId="3" fillId="2" borderId="13" xfId="0" applyNumberFormat="1" applyFont="1" applyFill="1" applyBorder="1" applyAlignment="1">
      <alignment horizontal="center" vertical="center" wrapText="1"/>
    </xf>
    <xf numFmtId="0" fontId="1" fillId="0" borderId="7" xfId="0" applyFont="1" applyBorder="1" applyAlignment="1" applyProtection="1">
      <alignment horizontal="left" vertical="center"/>
    </xf>
    <xf numFmtId="15" fontId="0" fillId="0" borderId="10" xfId="0" applyNumberFormat="1" applyBorder="1" applyAlignment="1" applyProtection="1">
      <alignment horizontal="center" vertical="center"/>
    </xf>
    <xf numFmtId="0" fontId="0" fillId="0" borderId="10" xfId="0" applyBorder="1" applyAlignment="1" applyProtection="1">
      <alignment horizontal="center" vertical="center"/>
    </xf>
    <xf numFmtId="0" fontId="0" fillId="0" borderId="10" xfId="0" applyFill="1" applyBorder="1" applyAlignment="1" applyProtection="1">
      <alignment horizontal="center" vertical="center"/>
    </xf>
    <xf numFmtId="10" fontId="0" fillId="0" borderId="7" xfId="0" applyNumberFormat="1"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3" fontId="0" fillId="0" borderId="8" xfId="0" applyNumberFormat="1" applyBorder="1" applyAlignment="1" applyProtection="1">
      <alignment vertical="center"/>
    </xf>
    <xf numFmtId="3" fontId="0" fillId="0" borderId="9" xfId="0" applyNumberFormat="1" applyBorder="1" applyAlignment="1" applyProtection="1">
      <alignment vertical="center"/>
    </xf>
    <xf numFmtId="0" fontId="1" fillId="0" borderId="7" xfId="0" applyFont="1" applyBorder="1" applyAlignment="1" applyProtection="1">
      <alignment vertical="center"/>
    </xf>
    <xf numFmtId="15" fontId="11" fillId="0" borderId="17" xfId="0" applyNumberFormat="1" applyFont="1" applyBorder="1" applyAlignment="1" applyProtection="1">
      <alignment vertical="center"/>
    </xf>
    <xf numFmtId="0" fontId="25" fillId="0" borderId="7" xfId="0" applyFont="1" applyBorder="1" applyAlignment="1" applyProtection="1">
      <alignment vertical="center"/>
    </xf>
    <xf numFmtId="0" fontId="0" fillId="0" borderId="8" xfId="0" quotePrefix="1" applyBorder="1" applyAlignment="1">
      <alignment horizontal="center" vertical="center"/>
    </xf>
    <xf numFmtId="10" fontId="0" fillId="0" borderId="7" xfId="0" quotePrefix="1" applyNumberFormat="1" applyBorder="1" applyAlignment="1" applyProtection="1">
      <alignment horizontal="center" vertical="center"/>
    </xf>
    <xf numFmtId="15" fontId="11" fillId="0" borderId="11" xfId="0" applyNumberFormat="1" applyFont="1" applyFill="1" applyBorder="1" applyAlignment="1">
      <alignment horizontal="center" vertical="center"/>
    </xf>
    <xf numFmtId="0" fontId="9" fillId="0" borderId="11" xfId="0" applyFont="1" applyFill="1" applyBorder="1" applyAlignment="1">
      <alignment horizontal="center" vertical="center"/>
    </xf>
    <xf numFmtId="0" fontId="0" fillId="0" borderId="7" xfId="0" applyBorder="1" applyAlignment="1" applyProtection="1">
      <alignment vertical="center"/>
    </xf>
    <xf numFmtId="0" fontId="1" fillId="0" borderId="12" xfId="0" applyFont="1" applyBorder="1" applyAlignment="1" applyProtection="1">
      <alignment vertical="center"/>
    </xf>
    <xf numFmtId="0" fontId="9" fillId="0" borderId="11" xfId="0" applyFont="1" applyBorder="1" applyAlignment="1">
      <alignment horizontal="center" vertical="center"/>
    </xf>
    <xf numFmtId="0" fontId="11" fillId="0" borderId="11" xfId="0" applyFont="1" applyBorder="1" applyAlignment="1">
      <alignment horizontal="center" vertical="center"/>
    </xf>
    <xf numFmtId="3" fontId="0" fillId="0" borderId="9" xfId="1" applyNumberFormat="1" applyFont="1" applyBorder="1" applyAlignment="1">
      <alignment vertical="center"/>
    </xf>
    <xf numFmtId="15" fontId="11" fillId="0" borderId="11" xfId="0" applyNumberFormat="1" applyFont="1" applyBorder="1" applyAlignment="1">
      <alignment vertical="center"/>
    </xf>
    <xf numFmtId="0" fontId="3" fillId="0" borderId="7" xfId="0" applyFont="1" applyBorder="1" applyAlignment="1">
      <alignment vertical="center"/>
    </xf>
    <xf numFmtId="3" fontId="0" fillId="0" borderId="8" xfId="1" applyNumberFormat="1" applyFont="1" applyBorder="1" applyAlignment="1">
      <alignment vertical="center"/>
    </xf>
    <xf numFmtId="15" fontId="11" fillId="0" borderId="11" xfId="0" applyNumberFormat="1" applyFont="1" applyBorder="1" applyAlignment="1">
      <alignment horizontal="center" vertical="center"/>
    </xf>
    <xf numFmtId="0" fontId="4" fillId="0" borderId="7" xfId="0" applyFont="1" applyBorder="1" applyAlignment="1">
      <alignment vertical="center"/>
    </xf>
    <xf numFmtId="15" fontId="4" fillId="0" borderId="10" xfId="0" applyNumberFormat="1" applyFont="1" applyBorder="1" applyAlignment="1">
      <alignment horizontal="center" vertical="center"/>
    </xf>
    <xf numFmtId="0" fontId="4" fillId="0" borderId="10" xfId="0" applyFont="1" applyBorder="1" applyAlignment="1">
      <alignment vertical="center"/>
    </xf>
    <xf numFmtId="0" fontId="4" fillId="0" borderId="10" xfId="0" applyFont="1" applyBorder="1" applyAlignment="1">
      <alignment horizontal="center" vertical="center"/>
    </xf>
    <xf numFmtId="10" fontId="4" fillId="0" borderId="7" xfId="0" applyNumberFormat="1"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3" fontId="4" fillId="0" borderId="8" xfId="0" applyNumberFormat="1" applyFont="1" applyBorder="1" applyAlignment="1">
      <alignment vertical="center"/>
    </xf>
    <xf numFmtId="15" fontId="11" fillId="0" borderId="11" xfId="0" applyNumberFormat="1" applyFont="1" applyBorder="1" applyAlignment="1">
      <alignment horizontal="right" vertical="center"/>
    </xf>
    <xf numFmtId="0" fontId="4" fillId="0" borderId="10" xfId="0" applyFont="1" applyFill="1" applyBorder="1" applyAlignment="1">
      <alignment horizontal="center" vertical="center"/>
    </xf>
    <xf numFmtId="15" fontId="4" fillId="0" borderId="10" xfId="0" applyNumberFormat="1" applyFont="1" applyBorder="1" applyAlignment="1">
      <alignment horizontal="right" vertical="center"/>
    </xf>
    <xf numFmtId="10" fontId="4" fillId="0" borderId="8" xfId="0" applyNumberFormat="1" applyFont="1" applyBorder="1" applyAlignment="1">
      <alignment horizontal="center" vertical="center"/>
    </xf>
    <xf numFmtId="15" fontId="1" fillId="0" borderId="10" xfId="0" applyNumberFormat="1" applyFont="1" applyBorder="1" applyAlignment="1">
      <alignment horizontal="center" vertical="center"/>
    </xf>
    <xf numFmtId="3" fontId="1" fillId="0" borderId="9" xfId="0" applyNumberFormat="1" applyFont="1" applyBorder="1" applyAlignment="1">
      <alignment vertical="center"/>
    </xf>
    <xf numFmtId="3" fontId="0" fillId="0" borderId="9" xfId="0" applyNumberFormat="1" applyBorder="1" applyAlignment="1">
      <alignment vertical="center"/>
    </xf>
    <xf numFmtId="15" fontId="0" fillId="0" borderId="7" xfId="0" applyNumberFormat="1" applyFill="1" applyBorder="1" applyAlignment="1">
      <alignment vertical="center"/>
    </xf>
    <xf numFmtId="0" fontId="0" fillId="0" borderId="9" xfId="0" applyFill="1" applyBorder="1" applyAlignment="1">
      <alignment horizontal="center" vertical="center"/>
    </xf>
    <xf numFmtId="3" fontId="4" fillId="0" borderId="9" xfId="0" applyNumberFormat="1" applyFont="1" applyFill="1" applyBorder="1" applyAlignment="1">
      <alignment vertical="center"/>
    </xf>
    <xf numFmtId="0" fontId="5" fillId="0" borderId="7" xfId="0" applyFont="1" applyFill="1" applyBorder="1" applyAlignment="1" applyProtection="1">
      <alignment vertical="center"/>
    </xf>
    <xf numFmtId="15" fontId="0" fillId="0" borderId="10" xfId="0" applyNumberFormat="1" applyFill="1" applyBorder="1" applyAlignment="1">
      <alignment horizontal="center" vertical="center"/>
    </xf>
    <xf numFmtId="3" fontId="5" fillId="0" borderId="9" xfId="0" applyNumberFormat="1" applyFont="1" applyFill="1" applyBorder="1" applyAlignment="1">
      <alignment vertical="center"/>
    </xf>
    <xf numFmtId="0" fontId="0" fillId="0" borderId="7" xfId="0" applyFill="1" applyBorder="1" applyAlignment="1">
      <alignment horizontal="center" vertical="center"/>
    </xf>
    <xf numFmtId="166" fontId="1" fillId="0" borderId="0" xfId="0" quotePrefix="1" applyNumberFormat="1" applyFont="1" applyFill="1" applyBorder="1" applyAlignment="1">
      <alignment horizontal="center" vertical="center"/>
    </xf>
    <xf numFmtId="166" fontId="8" fillId="0" borderId="10" xfId="0" applyNumberFormat="1" applyFont="1" applyFill="1" applyBorder="1" applyAlignment="1">
      <alignment horizontal="center" vertical="center"/>
    </xf>
    <xf numFmtId="166" fontId="8" fillId="0" borderId="8" xfId="0" quotePrefix="1" applyNumberFormat="1" applyFont="1" applyFill="1" applyBorder="1" applyAlignment="1">
      <alignment horizontal="center" vertical="center"/>
    </xf>
    <xf numFmtId="0" fontId="1" fillId="0" borderId="7" xfId="0" applyFont="1" applyFill="1" applyBorder="1" applyAlignment="1">
      <alignment horizontal="center" vertical="center"/>
    </xf>
    <xf numFmtId="4" fontId="8" fillId="0" borderId="8" xfId="0" applyNumberFormat="1" applyFont="1" applyBorder="1" applyAlignment="1">
      <alignment horizontal="center" vertical="center" wrapText="1"/>
    </xf>
    <xf numFmtId="10" fontId="8" fillId="0" borderId="8" xfId="0" quotePrefix="1" applyNumberFormat="1" applyFont="1" applyBorder="1" applyAlignment="1">
      <alignment horizontal="center" vertical="center"/>
    </xf>
    <xf numFmtId="9" fontId="24" fillId="0" borderId="8" xfId="2" applyFont="1" applyBorder="1" applyAlignment="1">
      <alignment horizontal="center" vertical="center"/>
    </xf>
    <xf numFmtId="3" fontId="1" fillId="0" borderId="8" xfId="0" applyNumberFormat="1" applyFont="1" applyFill="1" applyBorder="1" applyAlignment="1">
      <alignment horizontal="right" vertical="center"/>
    </xf>
    <xf numFmtId="3" fontId="1" fillId="0" borderId="9" xfId="0" applyNumberFormat="1" applyFont="1" applyFill="1" applyBorder="1" applyAlignment="1">
      <alignment horizontal="right" vertical="center"/>
    </xf>
    <xf numFmtId="10" fontId="1" fillId="0" borderId="2" xfId="0" applyNumberFormat="1" applyFont="1" applyBorder="1" applyAlignment="1" applyProtection="1">
      <alignment horizontal="center" vertical="center"/>
    </xf>
    <xf numFmtId="0" fontId="1" fillId="0" borderId="2" xfId="0" applyFont="1" applyBorder="1" applyAlignment="1" applyProtection="1">
      <alignment horizontal="center" vertical="center"/>
    </xf>
    <xf numFmtId="10" fontId="1" fillId="0" borderId="2" xfId="0" applyNumberFormat="1" applyFont="1" applyBorder="1" applyAlignment="1">
      <alignment horizontal="center" vertical="center"/>
    </xf>
    <xf numFmtId="169" fontId="1" fillId="0" borderId="0" xfId="0" applyNumberFormat="1" applyFont="1" applyBorder="1" applyAlignment="1">
      <alignment horizontal="center" vertical="center"/>
    </xf>
    <xf numFmtId="172" fontId="8" fillId="0" borderId="0" xfId="0" applyNumberFormat="1" applyFont="1" applyFill="1" applyBorder="1" applyAlignment="1">
      <alignment horizontal="right" vertical="center"/>
    </xf>
    <xf numFmtId="0" fontId="26" fillId="0" borderId="0" xfId="0" applyFont="1" applyAlignment="1"/>
    <xf numFmtId="0" fontId="27" fillId="0" borderId="0" xfId="0" quotePrefix="1" applyFont="1"/>
    <xf numFmtId="0" fontId="1" fillId="0" borderId="0" xfId="0" applyFont="1"/>
    <xf numFmtId="0" fontId="0" fillId="0" borderId="0" xfId="0" applyAlignment="1">
      <alignment horizontal="left" vertical="center" indent="1"/>
    </xf>
    <xf numFmtId="0" fontId="2" fillId="0" borderId="0" xfId="0" applyFont="1" applyAlignment="1">
      <alignment horizontal="left" vertical="center" indent="1"/>
    </xf>
    <xf numFmtId="0" fontId="3" fillId="2" borderId="14" xfId="0" applyFont="1" applyFill="1" applyBorder="1" applyAlignment="1">
      <alignment horizontal="left" vertical="center" indent="1"/>
    </xf>
    <xf numFmtId="0" fontId="0" fillId="0" borderId="6" xfId="0" applyBorder="1" applyAlignment="1">
      <alignment horizontal="left" vertical="center" indent="1"/>
    </xf>
    <xf numFmtId="0" fontId="0" fillId="0" borderId="8" xfId="0" applyBorder="1" applyAlignment="1">
      <alignment horizontal="left" vertical="center" indent="1"/>
    </xf>
    <xf numFmtId="0" fontId="11" fillId="0" borderId="0" xfId="0" applyFont="1" applyBorder="1" applyAlignment="1" applyProtection="1">
      <alignment horizontal="left" vertical="center" indent="1"/>
    </xf>
    <xf numFmtId="0" fontId="0" fillId="0" borderId="0" xfId="0" applyBorder="1" applyAlignment="1" applyProtection="1">
      <alignment horizontal="left" vertical="center" indent="1"/>
    </xf>
    <xf numFmtId="0" fontId="1" fillId="0" borderId="0" xfId="0" applyFont="1" applyBorder="1" applyAlignment="1" applyProtection="1">
      <alignment horizontal="left" vertical="center" indent="1"/>
    </xf>
    <xf numFmtId="0" fontId="0" fillId="0" borderId="0" xfId="0" applyFill="1" applyBorder="1" applyAlignment="1" applyProtection="1">
      <alignment horizontal="left" vertical="center" indent="1"/>
    </xf>
    <xf numFmtId="0" fontId="1" fillId="0" borderId="1" xfId="0" applyFont="1" applyBorder="1" applyAlignment="1" applyProtection="1">
      <alignment horizontal="left" vertical="center" indent="1"/>
    </xf>
    <xf numFmtId="0" fontId="1" fillId="0" borderId="8" xfId="0" applyFont="1" applyBorder="1" applyAlignment="1" applyProtection="1">
      <alignment horizontal="left" vertical="center" indent="1"/>
    </xf>
    <xf numFmtId="0" fontId="0" fillId="0" borderId="1" xfId="0" applyBorder="1" applyAlignment="1" applyProtection="1">
      <alignment horizontal="left" vertical="center" indent="1"/>
    </xf>
    <xf numFmtId="0" fontId="0" fillId="0" borderId="8" xfId="0" applyBorder="1" applyAlignment="1" applyProtection="1">
      <alignment horizontal="left" vertical="center" indent="1"/>
    </xf>
    <xf numFmtId="0" fontId="9" fillId="0" borderId="0" xfId="0" applyFont="1" applyBorder="1" applyAlignment="1" applyProtection="1">
      <alignment horizontal="left" vertical="center" indent="1"/>
    </xf>
    <xf numFmtId="0" fontId="0" fillId="0" borderId="1" xfId="0" applyFill="1" applyBorder="1" applyAlignment="1" applyProtection="1">
      <alignment horizontal="left" vertical="center" indent="1"/>
    </xf>
    <xf numFmtId="0" fontId="0" fillId="0" borderId="8" xfId="0" applyFill="1" applyBorder="1" applyAlignment="1" applyProtection="1">
      <alignment horizontal="left" vertical="center" indent="1"/>
    </xf>
    <xf numFmtId="0" fontId="1" fillId="0" borderId="0" xfId="0" applyFont="1" applyFill="1" applyBorder="1" applyAlignment="1" applyProtection="1">
      <alignment horizontal="left" vertical="center" indent="1"/>
    </xf>
    <xf numFmtId="37" fontId="0" fillId="0" borderId="0" xfId="0" applyNumberFormat="1" applyBorder="1" applyAlignment="1" applyProtection="1">
      <alignment horizontal="left" vertical="center" indent="1"/>
    </xf>
    <xf numFmtId="0" fontId="11" fillId="0" borderId="0" xfId="0" applyFont="1" applyFill="1" applyBorder="1" applyAlignment="1">
      <alignment horizontal="left" vertical="center" indent="1"/>
    </xf>
    <xf numFmtId="0" fontId="0" fillId="0" borderId="0" xfId="0" applyBorder="1" applyAlignment="1">
      <alignment horizontal="left" vertical="center" indent="1"/>
    </xf>
    <xf numFmtId="0" fontId="0" fillId="0" borderId="1" xfId="0" applyBorder="1" applyAlignment="1">
      <alignment horizontal="left" vertical="center" indent="1"/>
    </xf>
    <xf numFmtId="0" fontId="11" fillId="0" borderId="0" xfId="0" applyFont="1" applyBorder="1" applyAlignment="1">
      <alignment horizontal="left" vertical="center" indent="1"/>
    </xf>
    <xf numFmtId="0" fontId="1" fillId="0" borderId="0" xfId="0" applyFont="1" applyBorder="1" applyAlignment="1">
      <alignment horizontal="left" vertical="center" indent="1"/>
    </xf>
    <xf numFmtId="0" fontId="4" fillId="0" borderId="0" xfId="0" applyFont="1" applyBorder="1" applyAlignment="1">
      <alignment horizontal="left" vertical="center" indent="1"/>
    </xf>
    <xf numFmtId="0" fontId="4" fillId="0" borderId="1" xfId="0" applyFont="1" applyBorder="1" applyAlignment="1">
      <alignment horizontal="left" vertical="center" indent="1"/>
    </xf>
    <xf numFmtId="0" fontId="4" fillId="0" borderId="8" xfId="0" applyFont="1" applyBorder="1" applyAlignment="1">
      <alignment horizontal="left" vertical="center" indent="1"/>
    </xf>
    <xf numFmtId="0" fontId="4" fillId="0" borderId="0" xfId="0" quotePrefix="1" applyFont="1" applyBorder="1" applyAlignment="1">
      <alignment horizontal="left" vertical="center" indent="1"/>
    </xf>
    <xf numFmtId="0" fontId="4" fillId="0" borderId="0" xfId="0" applyFont="1" applyFill="1" applyBorder="1" applyAlignment="1">
      <alignment horizontal="left" vertical="center" indent="1"/>
    </xf>
    <xf numFmtId="0" fontId="8" fillId="0" borderId="0" xfId="0" applyFont="1" applyBorder="1" applyAlignment="1">
      <alignment horizontal="left" vertical="center" indent="1"/>
    </xf>
    <xf numFmtId="0" fontId="1" fillId="0" borderId="0" xfId="0" quotePrefix="1" applyFont="1" applyBorder="1" applyAlignment="1">
      <alignment horizontal="left" vertical="center" indent="1"/>
    </xf>
    <xf numFmtId="0" fontId="0" fillId="0" borderId="0" xfId="0" quotePrefix="1" applyBorder="1" applyAlignment="1">
      <alignment horizontal="left" vertical="center" indent="1"/>
    </xf>
    <xf numFmtId="0" fontId="1" fillId="0" borderId="1" xfId="0" applyFont="1" applyBorder="1" applyAlignment="1">
      <alignment horizontal="left" vertical="center" indent="1"/>
    </xf>
    <xf numFmtId="0" fontId="1" fillId="0" borderId="10" xfId="0" applyFont="1" applyBorder="1" applyAlignment="1">
      <alignment horizontal="left" vertical="center" indent="1"/>
    </xf>
    <xf numFmtId="0" fontId="0" fillId="0" borderId="4" xfId="0" applyBorder="1" applyAlignment="1">
      <alignment horizontal="left" vertical="center" indent="1"/>
    </xf>
    <xf numFmtId="0" fontId="1" fillId="0" borderId="4" xfId="0" applyFont="1" applyBorder="1" applyAlignment="1">
      <alignment horizontal="left" vertical="center" indent="1"/>
    </xf>
    <xf numFmtId="0" fontId="1" fillId="0" borderId="4" xfId="0" quotePrefix="1" applyFont="1" applyBorder="1" applyAlignment="1">
      <alignment horizontal="left" vertical="center" indent="1"/>
    </xf>
    <xf numFmtId="0" fontId="1" fillId="0" borderId="5" xfId="0" applyFont="1" applyBorder="1" applyAlignment="1">
      <alignment horizontal="left" vertical="center" indent="1"/>
    </xf>
    <xf numFmtId="0" fontId="8" fillId="0" borderId="4" xfId="0" quotePrefix="1" applyFont="1" applyBorder="1" applyAlignment="1">
      <alignment horizontal="left" vertical="center" indent="1"/>
    </xf>
    <xf numFmtId="0" fontId="8" fillId="0" borderId="4" xfId="0" applyFont="1" applyBorder="1" applyAlignment="1">
      <alignment horizontal="left" vertical="center" indent="1"/>
    </xf>
    <xf numFmtId="0" fontId="4" fillId="0" borderId="4" xfId="0" applyFont="1" applyBorder="1" applyAlignment="1">
      <alignment horizontal="left" vertical="center" indent="1"/>
    </xf>
    <xf numFmtId="0" fontId="4" fillId="0" borderId="5" xfId="0" quotePrefix="1" applyFont="1" applyBorder="1" applyAlignment="1">
      <alignment horizontal="left" vertical="center" indent="1"/>
    </xf>
    <xf numFmtId="0" fontId="4" fillId="0" borderId="9" xfId="0" quotePrefix="1" applyFont="1" applyBorder="1" applyAlignment="1">
      <alignment horizontal="left" vertical="center" indent="1"/>
    </xf>
    <xf numFmtId="0" fontId="4" fillId="0" borderId="11" xfId="0" quotePrefix="1" applyFont="1" applyBorder="1" applyAlignment="1">
      <alignment horizontal="left" vertical="center" indent="1"/>
    </xf>
    <xf numFmtId="0" fontId="1" fillId="0" borderId="11" xfId="0" quotePrefix="1" applyFont="1" applyBorder="1" applyAlignment="1">
      <alignment horizontal="left" vertical="center" indent="1"/>
    </xf>
    <xf numFmtId="0" fontId="1" fillId="0" borderId="12" xfId="0" quotePrefix="1" applyFont="1" applyBorder="1" applyAlignment="1">
      <alignment horizontal="left" vertical="center" indent="1"/>
    </xf>
    <xf numFmtId="0" fontId="4" fillId="0" borderId="10" xfId="0" quotePrefix="1" applyFont="1" applyBorder="1" applyAlignment="1">
      <alignment horizontal="left" vertical="center" indent="1"/>
    </xf>
    <xf numFmtId="0" fontId="1" fillId="0" borderId="11" xfId="0" quotePrefix="1" applyFont="1" applyFill="1" applyBorder="1" applyAlignment="1">
      <alignment horizontal="left" vertical="center" indent="1"/>
    </xf>
    <xf numFmtId="0" fontId="4" fillId="0" borderId="12" xfId="0" quotePrefix="1" applyFont="1" applyBorder="1" applyAlignment="1">
      <alignment horizontal="left" vertical="center" indent="1"/>
    </xf>
    <xf numFmtId="0" fontId="1" fillId="0" borderId="11" xfId="0" applyFont="1" applyBorder="1" applyAlignment="1">
      <alignment horizontal="left" vertical="center" indent="1"/>
    </xf>
    <xf numFmtId="0" fontId="1" fillId="0" borderId="11" xfId="0" applyFont="1" applyFill="1" applyBorder="1" applyAlignment="1">
      <alignment horizontal="left" vertical="center" indent="1"/>
    </xf>
    <xf numFmtId="0" fontId="1" fillId="0" borderId="11" xfId="0" applyFont="1" applyBorder="1" applyAlignment="1">
      <alignment horizontal="left" vertical="center" wrapText="1" indent="1"/>
    </xf>
    <xf numFmtId="0" fontId="1" fillId="0" borderId="11" xfId="0" quotePrefix="1" applyFont="1" applyBorder="1" applyAlignment="1">
      <alignment horizontal="left" vertical="center" wrapText="1" indent="1"/>
    </xf>
    <xf numFmtId="0" fontId="1" fillId="0" borderId="12" xfId="0" applyFont="1" applyBorder="1" applyAlignment="1">
      <alignment horizontal="left" vertical="center" indent="1"/>
    </xf>
    <xf numFmtId="0" fontId="1" fillId="0" borderId="0" xfId="0" applyFont="1" applyFill="1" applyBorder="1" applyAlignment="1">
      <alignment horizontal="left" vertical="center" indent="1"/>
    </xf>
    <xf numFmtId="0" fontId="1" fillId="0" borderId="0" xfId="0" applyFont="1" applyFill="1" applyBorder="1" applyAlignment="1">
      <alignment horizontal="left" vertical="center" wrapText="1" indent="1"/>
    </xf>
    <xf numFmtId="0" fontId="8" fillId="0" borderId="1" xfId="0" applyFont="1" applyFill="1" applyBorder="1" applyAlignment="1">
      <alignment horizontal="left" vertical="center" indent="1"/>
    </xf>
    <xf numFmtId="0" fontId="8" fillId="0" borderId="0" xfId="0" applyFont="1" applyFill="1" applyBorder="1" applyAlignment="1">
      <alignment horizontal="left" vertical="center" indent="1"/>
    </xf>
    <xf numFmtId="0" fontId="0" fillId="0" borderId="12" xfId="0" applyFill="1" applyBorder="1" applyAlignment="1">
      <alignment horizontal="left" vertical="center" indent="1"/>
    </xf>
    <xf numFmtId="0" fontId="0" fillId="0" borderId="0" xfId="0" applyFill="1" applyBorder="1" applyAlignment="1">
      <alignment horizontal="left" vertical="center" indent="1"/>
    </xf>
    <xf numFmtId="0" fontId="1" fillId="0" borderId="11" xfId="0" applyFont="1" applyFill="1" applyBorder="1" applyAlignment="1">
      <alignment horizontal="left" vertical="center" wrapText="1" indent="1"/>
    </xf>
    <xf numFmtId="0" fontId="0" fillId="0" borderId="11" xfId="0" applyFill="1" applyBorder="1" applyAlignment="1">
      <alignment horizontal="left" vertical="center" indent="1"/>
    </xf>
    <xf numFmtId="0" fontId="0" fillId="0" borderId="10" xfId="0" applyFill="1" applyBorder="1" applyAlignment="1">
      <alignment horizontal="left" vertical="center" indent="1"/>
    </xf>
    <xf numFmtId="0" fontId="4" fillId="0" borderId="12" xfId="0" quotePrefix="1" applyFont="1" applyFill="1" applyBorder="1" applyAlignment="1">
      <alignment horizontal="left" vertical="center" indent="1"/>
    </xf>
    <xf numFmtId="0" fontId="4" fillId="0" borderId="10" xfId="0" quotePrefix="1" applyFont="1" applyFill="1" applyBorder="1" applyAlignment="1">
      <alignment horizontal="left" vertical="center" indent="1"/>
    </xf>
    <xf numFmtId="0" fontId="1" fillId="0" borderId="1" xfId="0" applyFont="1" applyFill="1" applyBorder="1" applyAlignment="1">
      <alignment horizontal="left" vertical="center" wrapText="1" indent="1"/>
    </xf>
    <xf numFmtId="0" fontId="8" fillId="0" borderId="0" xfId="0" applyFont="1" applyFill="1" applyBorder="1" applyAlignment="1">
      <alignment horizontal="left" vertical="center" wrapText="1" indent="1"/>
    </xf>
    <xf numFmtId="0" fontId="8" fillId="0" borderId="10" xfId="0" applyFont="1" applyFill="1" applyBorder="1" applyAlignment="1">
      <alignment horizontal="left" vertical="center" wrapText="1" indent="1"/>
    </xf>
    <xf numFmtId="0" fontId="8" fillId="0" borderId="11" xfId="0" applyFont="1" applyFill="1" applyBorder="1" applyAlignment="1">
      <alignment horizontal="left" vertical="center" wrapText="1" indent="1"/>
    </xf>
    <xf numFmtId="0" fontId="8" fillId="0" borderId="0" xfId="0" quotePrefix="1" applyFont="1" applyFill="1" applyBorder="1" applyAlignment="1">
      <alignment horizontal="left" vertical="center" indent="1"/>
    </xf>
    <xf numFmtId="0" fontId="0" fillId="0" borderId="0" xfId="0" applyFill="1" applyAlignment="1">
      <alignment horizontal="left" vertical="center" indent="1"/>
    </xf>
    <xf numFmtId="0" fontId="4" fillId="0" borderId="0" xfId="0" applyFont="1" applyFill="1" applyAlignment="1">
      <alignment horizontal="left" vertical="center" indent="1"/>
    </xf>
    <xf numFmtId="0" fontId="1" fillId="0" borderId="0" xfId="0" applyFont="1" applyFill="1" applyAlignment="1">
      <alignment horizontal="left" vertical="center" indent="1"/>
    </xf>
    <xf numFmtId="0" fontId="1" fillId="0" borderId="0" xfId="0" applyFont="1" applyAlignment="1">
      <alignment horizontal="left" vertical="center" indent="1"/>
    </xf>
    <xf numFmtId="0" fontId="1" fillId="0" borderId="0" xfId="0" applyFont="1" applyAlignment="1">
      <alignment horizontal="left" vertical="center" wrapText="1" indent="1"/>
    </xf>
    <xf numFmtId="0" fontId="25" fillId="0" borderId="0" xfId="0" applyFont="1" applyAlignment="1"/>
    <xf numFmtId="0" fontId="1" fillId="0" borderId="0" xfId="0" applyFont="1" applyAlignment="1">
      <alignment horizontal="justify" vertical="center" wrapText="1"/>
    </xf>
    <xf numFmtId="0" fontId="3" fillId="0" borderId="0" xfId="0" applyFont="1" applyAlignment="1">
      <alignment horizontal="justify" vertical="center" wrapText="1"/>
    </xf>
    <xf numFmtId="0" fontId="1" fillId="0" borderId="0" xfId="0" applyFont="1" applyAlignment="1">
      <alignment vertical="center" wrapText="1"/>
    </xf>
    <xf numFmtId="0" fontId="6" fillId="0" borderId="0" xfId="0" applyFont="1" applyAlignment="1" applyProtection="1">
      <alignment horizontal="center" vertical="center"/>
    </xf>
    <xf numFmtId="0" fontId="13" fillId="0" borderId="0" xfId="0" applyFont="1" applyAlignment="1" applyProtection="1">
      <alignment horizontal="center" vertical="center"/>
    </xf>
    <xf numFmtId="0" fontId="3" fillId="0" borderId="0" xfId="0" applyFont="1" applyFill="1" applyAlignment="1">
      <alignment horizontal="left" vertical="center" wrapText="1"/>
    </xf>
    <xf numFmtId="0" fontId="1" fillId="0" borderId="0" xfId="0" applyFont="1" applyFill="1" applyAlignment="1">
      <alignment horizontal="left" vertical="center" wrapText="1"/>
    </xf>
    <xf numFmtId="0" fontId="1" fillId="0" borderId="0" xfId="0" applyNumberFormat="1" applyFont="1" applyFill="1" applyAlignment="1">
      <alignment horizontal="justify" vertical="center" wrapText="1"/>
    </xf>
    <xf numFmtId="0" fontId="1" fillId="0" borderId="0" xfId="0" applyFont="1" applyFill="1" applyAlignment="1">
      <alignment horizontal="justify" vertic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1" fillId="0" borderId="0" xfId="0" quotePrefix="1" applyFont="1" applyFill="1" applyAlignment="1">
      <alignment horizontal="left" vertical="center" wrapText="1"/>
    </xf>
    <xf numFmtId="0" fontId="0" fillId="0" borderId="0" xfId="0" applyFill="1" applyAlignment="1">
      <alignment vertical="center" wrapText="1"/>
    </xf>
    <xf numFmtId="0" fontId="15" fillId="0" borderId="0" xfId="0" applyFont="1" applyFill="1" applyAlignment="1">
      <alignment vertical="center" wrapText="1"/>
    </xf>
    <xf numFmtId="0" fontId="31" fillId="0" borderId="0" xfId="0" applyFont="1" applyBorder="1" applyAlignment="1">
      <alignment horizontal="center" vertical="center"/>
    </xf>
    <xf numFmtId="3" fontId="31" fillId="0" borderId="0" xfId="0" applyNumberFormat="1" applyFont="1" applyBorder="1" applyAlignment="1">
      <alignment horizontal="center" vertical="center"/>
    </xf>
    <xf numFmtId="0" fontId="1" fillId="0" borderId="10" xfId="0" applyFont="1" applyBorder="1" applyAlignment="1">
      <alignment vertical="center"/>
    </xf>
    <xf numFmtId="0" fontId="12" fillId="0" borderId="11" xfId="0" applyFont="1" applyBorder="1" applyAlignment="1">
      <alignment vertical="center"/>
    </xf>
    <xf numFmtId="0" fontId="5" fillId="0" borderId="11" xfId="0" applyFont="1" applyBorder="1" applyAlignment="1">
      <alignment vertical="center"/>
    </xf>
    <xf numFmtId="0" fontId="3" fillId="0" borderId="11" xfId="0" applyFont="1" applyBorder="1" applyAlignment="1">
      <alignment vertical="center"/>
    </xf>
    <xf numFmtId="0" fontId="11" fillId="0" borderId="2" xfId="0" applyFont="1" applyBorder="1" applyAlignment="1" applyProtection="1">
      <alignment horizontal="center" vertical="center"/>
    </xf>
    <xf numFmtId="0" fontId="0" fillId="0" borderId="3" xfId="0" applyBorder="1" applyAlignment="1" applyProtection="1">
      <alignment horizontal="center" vertical="center"/>
    </xf>
    <xf numFmtId="0" fontId="0" fillId="0" borderId="7" xfId="0" applyBorder="1" applyAlignment="1" applyProtection="1">
      <alignment horizontal="center" vertical="center"/>
    </xf>
    <xf numFmtId="0" fontId="0" fillId="0" borderId="2" xfId="0" applyFill="1" applyBorder="1" applyAlignment="1" applyProtection="1">
      <alignment horizontal="center" vertical="center"/>
    </xf>
    <xf numFmtId="37" fontId="0" fillId="0" borderId="2" xfId="0" applyNumberFormat="1" applyBorder="1" applyAlignment="1" applyProtection="1">
      <alignment horizontal="center" vertical="center"/>
    </xf>
    <xf numFmtId="0" fontId="4" fillId="0" borderId="7" xfId="0" applyFont="1" applyFill="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xf>
    <xf numFmtId="0" fontId="4" fillId="0" borderId="11" xfId="0" applyFont="1" applyBorder="1" applyAlignment="1" applyProtection="1">
      <alignment horizontal="center" vertical="center"/>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0" xfId="0" applyFont="1" applyBorder="1" applyAlignment="1" applyProtection="1">
      <alignment horizontal="center" vertical="center"/>
    </xf>
    <xf numFmtId="166" fontId="1" fillId="0" borderId="11" xfId="0" quotePrefix="1" applyNumberFormat="1" applyFont="1" applyFill="1" applyBorder="1" applyAlignment="1">
      <alignment horizontal="center" vertical="center"/>
    </xf>
    <xf numFmtId="2" fontId="1" fillId="0" borderId="11" xfId="0" applyNumberFormat="1" applyFont="1" applyFill="1" applyBorder="1" applyAlignment="1">
      <alignment horizontal="center" vertical="center" wrapText="1"/>
    </xf>
    <xf numFmtId="10" fontId="1" fillId="0" borderId="0" xfId="0" quotePrefix="1" applyNumberFormat="1" applyFont="1" applyBorder="1" applyAlignment="1">
      <alignment horizontal="center" vertical="center"/>
    </xf>
    <xf numFmtId="9" fontId="22" fillId="0" borderId="0" xfId="2" applyFont="1" applyBorder="1" applyAlignment="1">
      <alignment horizontal="center" vertical="center"/>
    </xf>
    <xf numFmtId="0" fontId="1" fillId="0" borderId="11" xfId="0" applyFont="1" applyBorder="1" applyAlignment="1">
      <alignment horizontal="center" vertical="center" wrapText="1"/>
    </xf>
    <xf numFmtId="170" fontId="1" fillId="0" borderId="0" xfId="2" quotePrefix="1" applyNumberFormat="1" applyFont="1" applyBorder="1" applyAlignment="1">
      <alignment horizontal="center" vertical="center" wrapText="1"/>
    </xf>
    <xf numFmtId="10" fontId="1" fillId="3" borderId="0" xfId="0" quotePrefix="1" applyNumberFormat="1" applyFont="1" applyFill="1" applyBorder="1" applyAlignment="1">
      <alignment horizontal="center" vertical="center"/>
    </xf>
    <xf numFmtId="10" fontId="1" fillId="0" borderId="0" xfId="0" quotePrefix="1" applyNumberFormat="1" applyFont="1" applyFill="1" applyBorder="1" applyAlignment="1">
      <alignment horizontal="center" vertical="center"/>
    </xf>
    <xf numFmtId="4" fontId="1" fillId="3" borderId="0" xfId="0" applyNumberFormat="1" applyFont="1" applyFill="1" applyBorder="1" applyAlignment="1">
      <alignment horizontal="center" vertical="center" wrapText="1"/>
    </xf>
    <xf numFmtId="4" fontId="1" fillId="0" borderId="0" xfId="0" applyNumberFormat="1" applyFont="1" applyFill="1" applyBorder="1" applyAlignment="1">
      <alignment horizontal="center" vertical="center"/>
    </xf>
    <xf numFmtId="4" fontId="1" fillId="0" borderId="0" xfId="0" applyNumberFormat="1" applyFont="1" applyFill="1" applyBorder="1" applyAlignment="1">
      <alignment horizontal="center" vertical="center" wrapText="1"/>
    </xf>
    <xf numFmtId="3" fontId="1" fillId="0" borderId="4" xfId="0" applyNumberFormat="1" applyFont="1" applyBorder="1" applyAlignment="1">
      <alignment horizontal="right" vertical="center"/>
    </xf>
    <xf numFmtId="166" fontId="8" fillId="0" borderId="12" xfId="0" quotePrefix="1" applyNumberFormat="1" applyFont="1" applyFill="1" applyBorder="1" applyAlignment="1">
      <alignment horizontal="center" vertical="center"/>
    </xf>
    <xf numFmtId="0" fontId="8" fillId="0" borderId="12" xfId="0" applyFont="1" applyFill="1" applyBorder="1" applyAlignment="1">
      <alignment horizontal="left" vertical="center" wrapText="1" indent="1"/>
    </xf>
    <xf numFmtId="0" fontId="8" fillId="0" borderId="3" xfId="0" applyFont="1" applyFill="1" applyBorder="1" applyAlignment="1">
      <alignment horizontal="center" vertical="center" wrapText="1"/>
    </xf>
    <xf numFmtId="9" fontId="8" fillId="0" borderId="5" xfId="2" applyFont="1" applyFill="1" applyBorder="1" applyAlignment="1">
      <alignment horizontal="center" vertical="center"/>
    </xf>
    <xf numFmtId="0" fontId="1" fillId="0" borderId="3" xfId="0" applyFont="1" applyFill="1" applyBorder="1" applyAlignment="1">
      <alignment horizontal="center" vertical="center"/>
    </xf>
    <xf numFmtId="170" fontId="3" fillId="0" borderId="0" xfId="2" quotePrefix="1" applyNumberFormat="1" applyFont="1" applyBorder="1" applyAlignment="1">
      <alignment horizontal="center" vertical="center" wrapText="1"/>
    </xf>
    <xf numFmtId="3" fontId="28" fillId="0" borderId="4" xfId="0" applyNumberFormat="1" applyFont="1" applyFill="1" applyBorder="1" applyAlignment="1">
      <alignment horizontal="right" vertical="center"/>
    </xf>
    <xf numFmtId="9" fontId="3" fillId="0" borderId="0" xfId="2" applyFont="1" applyBorder="1" applyAlignment="1">
      <alignment horizontal="center" vertical="center"/>
    </xf>
    <xf numFmtId="9" fontId="22" fillId="0" borderId="2" xfId="2" applyFont="1" applyFill="1" applyBorder="1" applyAlignment="1">
      <alignment horizontal="center" vertical="center"/>
    </xf>
    <xf numFmtId="15" fontId="0" fillId="0" borderId="11" xfId="0" applyNumberFormat="1" applyFill="1" applyBorder="1" applyAlignment="1">
      <alignment horizontal="center" vertical="center"/>
    </xf>
    <xf numFmtId="0" fontId="4" fillId="0" borderId="11" xfId="0" quotePrefix="1" applyFont="1" applyFill="1" applyBorder="1" applyAlignment="1">
      <alignment horizontal="left" vertical="center" indent="1"/>
    </xf>
    <xf numFmtId="0" fontId="1" fillId="0" borderId="11" xfId="0" quotePrefix="1" applyFont="1" applyFill="1" applyBorder="1" applyAlignment="1">
      <alignment horizontal="center" vertical="center"/>
    </xf>
    <xf numFmtId="166" fontId="8" fillId="0" borderId="4" xfId="0" quotePrefix="1" applyNumberFormat="1" applyFont="1" applyFill="1" applyBorder="1" applyAlignment="1">
      <alignment horizontal="center" vertical="center"/>
    </xf>
    <xf numFmtId="10" fontId="22" fillId="0" borderId="2" xfId="0" quotePrefix="1" applyNumberFormat="1" applyFont="1" applyFill="1" applyBorder="1" applyAlignment="1">
      <alignment horizontal="center" vertical="center"/>
    </xf>
    <xf numFmtId="10" fontId="22" fillId="0" borderId="4" xfId="0" quotePrefix="1" applyNumberFormat="1" applyFont="1" applyFill="1" applyBorder="1" applyAlignment="1">
      <alignment horizontal="center" vertical="center"/>
    </xf>
    <xf numFmtId="10" fontId="22" fillId="0" borderId="0" xfId="0" quotePrefix="1" applyNumberFormat="1" applyFont="1" applyBorder="1" applyAlignment="1">
      <alignment horizontal="center" vertical="center"/>
    </xf>
    <xf numFmtId="0" fontId="1" fillId="0" borderId="12" xfId="0" applyFont="1" applyFill="1" applyBorder="1" applyAlignment="1">
      <alignment horizontal="left" vertical="center" wrapText="1" indent="1"/>
    </xf>
    <xf numFmtId="0" fontId="1" fillId="0" borderId="3" xfId="0" applyFont="1" applyFill="1" applyBorder="1" applyAlignment="1">
      <alignment horizontal="center" vertical="center" wrapText="1"/>
    </xf>
    <xf numFmtId="9" fontId="1" fillId="0" borderId="5" xfId="2" applyFont="1" applyFill="1" applyBorder="1" applyAlignment="1">
      <alignment horizontal="center" vertical="center"/>
    </xf>
    <xf numFmtId="3" fontId="1" fillId="0" borderId="1" xfId="0" applyNumberFormat="1" applyFont="1" applyFill="1" applyBorder="1" applyAlignment="1">
      <alignment horizontal="right" vertical="center"/>
    </xf>
    <xf numFmtId="3" fontId="1" fillId="0" borderId="5" xfId="0" applyNumberFormat="1" applyFont="1" applyFill="1" applyBorder="1" applyAlignment="1">
      <alignment horizontal="right" vertical="center"/>
    </xf>
    <xf numFmtId="166" fontId="8" fillId="0" borderId="5" xfId="0" quotePrefix="1" applyNumberFormat="1" applyFont="1" applyFill="1" applyBorder="1" applyAlignment="1">
      <alignment horizontal="center" vertical="center"/>
    </xf>
    <xf numFmtId="166" fontId="1" fillId="0" borderId="1" xfId="0" quotePrefix="1"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xf>
    <xf numFmtId="166" fontId="8" fillId="0" borderId="1" xfId="0" quotePrefix="1" applyNumberFormat="1" applyFont="1" applyFill="1" applyBorder="1" applyAlignment="1">
      <alignment horizontal="center" vertical="center"/>
    </xf>
    <xf numFmtId="2" fontId="8" fillId="0" borderId="12" xfId="0" applyNumberFormat="1" applyFont="1" applyFill="1" applyBorder="1" applyAlignment="1">
      <alignment horizontal="center" vertical="center" wrapText="1"/>
    </xf>
    <xf numFmtId="10" fontId="8" fillId="0" borderId="1" xfId="0" quotePrefix="1" applyNumberFormat="1" applyFont="1" applyBorder="1" applyAlignment="1">
      <alignment horizontal="center" vertical="center"/>
    </xf>
    <xf numFmtId="9" fontId="24" fillId="0" borderId="1" xfId="2" applyFont="1" applyBorder="1" applyAlignment="1">
      <alignment horizontal="center" vertical="center"/>
    </xf>
    <xf numFmtId="9" fontId="30" fillId="0" borderId="0" xfId="2" applyFont="1" applyBorder="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911"/>
  <sheetViews>
    <sheetView showGridLines="0" tabSelected="1" topLeftCell="A718" zoomScale="80" zoomScaleNormal="80" zoomScaleSheetLayoutView="75" workbookViewId="0">
      <selection activeCell="E738" sqref="E738"/>
    </sheetView>
  </sheetViews>
  <sheetFormatPr baseColWidth="10" defaultRowHeight="12.75" x14ac:dyDescent="0.2"/>
  <cols>
    <col min="1" max="1" width="4.42578125" style="17" customWidth="1"/>
    <col min="2" max="2" width="25.85546875" style="17" customWidth="1"/>
    <col min="3" max="3" width="15.85546875" style="16" customWidth="1"/>
    <col min="4" max="4" width="23.28515625" style="18" customWidth="1"/>
    <col min="5" max="5" width="87" style="522" customWidth="1"/>
    <col min="6" max="6" width="19.85546875" style="18" customWidth="1"/>
    <col min="7" max="7" width="26.85546875" style="18" customWidth="1"/>
    <col min="8" max="8" width="21.85546875" style="18" customWidth="1"/>
    <col min="9" max="9" width="11.42578125" style="18"/>
    <col min="10" max="10" width="14.5703125" style="18" customWidth="1"/>
    <col min="11" max="11" width="8.140625" style="17" customWidth="1"/>
    <col min="12" max="12" width="14.85546875" style="17" customWidth="1"/>
    <col min="13" max="13" width="14.5703125" style="17" bestFit="1" customWidth="1"/>
    <col min="14" max="16384" width="11.42578125" style="17"/>
  </cols>
  <sheetData>
    <row r="1" spans="2:13" ht="15" x14ac:dyDescent="0.2">
      <c r="B1" s="15" t="s">
        <v>614</v>
      </c>
    </row>
    <row r="2" spans="2:13" ht="15" x14ac:dyDescent="0.2">
      <c r="B2" s="15" t="s">
        <v>2015</v>
      </c>
    </row>
    <row r="4" spans="2:13" ht="19.5" customHeight="1" x14ac:dyDescent="0.2">
      <c r="B4" s="600" t="s">
        <v>2014</v>
      </c>
      <c r="C4" s="600"/>
      <c r="D4" s="600"/>
      <c r="E4" s="600"/>
      <c r="F4" s="600"/>
      <c r="G4" s="600"/>
      <c r="H4" s="600"/>
      <c r="I4" s="600"/>
      <c r="J4" s="600"/>
      <c r="K4" s="600"/>
      <c r="L4" s="600"/>
      <c r="M4" s="600"/>
    </row>
    <row r="5" spans="2:13" ht="19.5" customHeight="1" x14ac:dyDescent="0.2">
      <c r="B5" s="600" t="s">
        <v>549</v>
      </c>
      <c r="C5" s="600"/>
      <c r="D5" s="600"/>
      <c r="E5" s="600"/>
      <c r="F5" s="600"/>
      <c r="G5" s="600"/>
      <c r="H5" s="600"/>
      <c r="I5" s="600"/>
      <c r="J5" s="600"/>
      <c r="K5" s="600"/>
      <c r="L5" s="600"/>
      <c r="M5" s="600"/>
    </row>
    <row r="6" spans="2:13" ht="19.5" customHeight="1" x14ac:dyDescent="0.2">
      <c r="B6" s="601" t="s">
        <v>707</v>
      </c>
      <c r="C6" s="601"/>
      <c r="D6" s="601"/>
      <c r="E6" s="601"/>
      <c r="F6" s="601"/>
      <c r="G6" s="601"/>
      <c r="H6" s="601"/>
      <c r="I6" s="601"/>
      <c r="J6" s="601"/>
      <c r="K6" s="601"/>
      <c r="L6" s="601"/>
      <c r="M6" s="601"/>
    </row>
    <row r="7" spans="2:13" ht="19.5" customHeight="1" x14ac:dyDescent="0.2">
      <c r="B7" s="600" t="s">
        <v>7</v>
      </c>
      <c r="C7" s="600"/>
      <c r="D7" s="600"/>
      <c r="E7" s="600"/>
      <c r="F7" s="600"/>
      <c r="G7" s="600"/>
      <c r="H7" s="600"/>
      <c r="I7" s="600"/>
      <c r="J7" s="600"/>
      <c r="K7" s="600"/>
      <c r="L7" s="600"/>
      <c r="M7" s="600"/>
    </row>
    <row r="8" spans="2:13" ht="16.5" thickBot="1" x14ac:dyDescent="0.25">
      <c r="B8" s="19"/>
      <c r="C8" s="20"/>
      <c r="D8" s="22"/>
      <c r="E8" s="523"/>
      <c r="F8" s="22"/>
      <c r="G8" s="22"/>
      <c r="H8" s="22"/>
      <c r="I8" s="22"/>
      <c r="J8" s="22"/>
      <c r="K8" s="21"/>
      <c r="L8" s="21"/>
      <c r="M8" s="21"/>
    </row>
    <row r="9" spans="2:13" ht="30" customHeight="1" thickTop="1" thickBot="1" x14ac:dyDescent="0.25">
      <c r="B9" s="456" t="s">
        <v>1876</v>
      </c>
      <c r="C9" s="457" t="s">
        <v>1877</v>
      </c>
      <c r="D9" s="23" t="s">
        <v>8</v>
      </c>
      <c r="E9" s="524" t="s">
        <v>9</v>
      </c>
      <c r="F9" s="23" t="s">
        <v>400</v>
      </c>
      <c r="G9" s="453" t="s">
        <v>1875</v>
      </c>
      <c r="H9" s="455" t="s">
        <v>1874</v>
      </c>
      <c r="I9" s="455" t="s">
        <v>1873</v>
      </c>
      <c r="J9" s="25" t="s">
        <v>10</v>
      </c>
      <c r="K9" s="24" t="s">
        <v>401</v>
      </c>
      <c r="L9" s="454" t="s">
        <v>1872</v>
      </c>
      <c r="M9" s="453" t="s">
        <v>1871</v>
      </c>
    </row>
    <row r="10" spans="2:13" ht="14.25" thickTop="1" thickBot="1" x14ac:dyDescent="0.25">
      <c r="B10" s="26"/>
      <c r="C10" s="27"/>
      <c r="D10" s="28"/>
      <c r="E10" s="525"/>
      <c r="F10" s="28"/>
      <c r="G10" s="28"/>
      <c r="H10" s="28"/>
      <c r="I10" s="28"/>
      <c r="J10" s="28"/>
      <c r="K10" s="26"/>
      <c r="L10" s="26"/>
      <c r="M10" s="26"/>
    </row>
    <row r="11" spans="2:13" ht="13.5" thickTop="1" x14ac:dyDescent="0.2">
      <c r="B11" s="29"/>
      <c r="C11" s="223"/>
      <c r="D11" s="32"/>
      <c r="E11" s="526"/>
      <c r="F11" s="33"/>
      <c r="G11" s="32"/>
      <c r="H11" s="33"/>
      <c r="I11" s="34"/>
      <c r="J11" s="35"/>
      <c r="K11" s="30"/>
      <c r="L11" s="30"/>
      <c r="M11" s="31"/>
    </row>
    <row r="12" spans="2:13" s="46" customFormat="1" ht="18" x14ac:dyDescent="0.2">
      <c r="B12" s="36">
        <v>1990</v>
      </c>
      <c r="C12" s="447"/>
      <c r="D12" s="38"/>
      <c r="E12" s="527"/>
      <c r="F12" s="617"/>
      <c r="G12" s="39"/>
      <c r="H12" s="40"/>
      <c r="I12" s="42"/>
      <c r="J12" s="43"/>
      <c r="K12" s="42"/>
      <c r="L12" s="44"/>
      <c r="M12" s="45">
        <f>+M13+M19+M25+M28+M33</f>
        <v>333745.89504999999</v>
      </c>
    </row>
    <row r="13" spans="2:13" x14ac:dyDescent="0.2">
      <c r="B13" s="47" t="s">
        <v>705</v>
      </c>
      <c r="C13" s="78"/>
      <c r="D13" s="49"/>
      <c r="E13" s="528"/>
      <c r="F13" s="59"/>
      <c r="G13" s="51"/>
      <c r="H13" s="52"/>
      <c r="I13" s="54"/>
      <c r="J13" s="55"/>
      <c r="K13" s="54"/>
      <c r="L13" s="56"/>
      <c r="M13" s="57">
        <f>SUM(M14:M17)</f>
        <v>150586</v>
      </c>
    </row>
    <row r="14" spans="2:13" ht="15" customHeight="1" x14ac:dyDescent="0.2">
      <c r="B14" s="58" t="s">
        <v>1823</v>
      </c>
      <c r="C14" s="78">
        <f>DATE(90,7,22)</f>
        <v>33076</v>
      </c>
      <c r="D14" s="51" t="s">
        <v>40</v>
      </c>
      <c r="E14" s="528" t="s">
        <v>41</v>
      </c>
      <c r="F14" s="59" t="s">
        <v>384</v>
      </c>
      <c r="G14" s="51" t="s">
        <v>42</v>
      </c>
      <c r="H14" s="59" t="s">
        <v>43</v>
      </c>
      <c r="I14" s="54" t="s">
        <v>44</v>
      </c>
      <c r="J14" s="55" t="s">
        <v>29</v>
      </c>
      <c r="K14" s="54" t="s">
        <v>18</v>
      </c>
      <c r="L14" s="60">
        <v>36000</v>
      </c>
      <c r="M14" s="61">
        <v>36000</v>
      </c>
    </row>
    <row r="15" spans="2:13" ht="15" customHeight="1" x14ac:dyDescent="0.2">
      <c r="B15" s="58" t="s">
        <v>1823</v>
      </c>
      <c r="C15" s="78">
        <f>DATE(90,7,22)</f>
        <v>33076</v>
      </c>
      <c r="D15" s="51" t="s">
        <v>40</v>
      </c>
      <c r="E15" s="528" t="s">
        <v>41</v>
      </c>
      <c r="F15" s="59" t="s">
        <v>384</v>
      </c>
      <c r="G15" s="51" t="s">
        <v>42</v>
      </c>
      <c r="H15" s="52">
        <v>7.4999999999999997E-2</v>
      </c>
      <c r="I15" s="54" t="s">
        <v>45</v>
      </c>
      <c r="J15" s="55" t="s">
        <v>46</v>
      </c>
      <c r="K15" s="54" t="s">
        <v>18</v>
      </c>
      <c r="L15" s="60">
        <v>63000</v>
      </c>
      <c r="M15" s="61">
        <v>63000</v>
      </c>
    </row>
    <row r="16" spans="2:13" ht="15" customHeight="1" x14ac:dyDescent="0.2">
      <c r="B16" s="62" t="s">
        <v>713</v>
      </c>
      <c r="C16" s="78">
        <v>33220</v>
      </c>
      <c r="D16" s="51" t="s">
        <v>1825</v>
      </c>
      <c r="E16" s="529" t="s">
        <v>25</v>
      </c>
      <c r="F16" s="59" t="s">
        <v>26</v>
      </c>
      <c r="G16" s="63" t="s">
        <v>27</v>
      </c>
      <c r="H16" s="514" t="s">
        <v>1879</v>
      </c>
      <c r="I16" s="54" t="s">
        <v>462</v>
      </c>
      <c r="J16" s="55" t="s">
        <v>385</v>
      </c>
      <c r="K16" s="54" t="s">
        <v>18</v>
      </c>
      <c r="L16" s="56">
        <v>6586</v>
      </c>
      <c r="M16" s="61">
        <f>+L16</f>
        <v>6586</v>
      </c>
    </row>
    <row r="17" spans="2:13" ht="15" customHeight="1" x14ac:dyDescent="0.2">
      <c r="B17" s="58" t="s">
        <v>1824</v>
      </c>
      <c r="C17" s="78">
        <f>DATE(90,12,21)</f>
        <v>33228</v>
      </c>
      <c r="D17" s="51" t="s">
        <v>32</v>
      </c>
      <c r="E17" s="528" t="s">
        <v>33</v>
      </c>
      <c r="F17" s="59" t="s">
        <v>682</v>
      </c>
      <c r="G17" s="51" t="s">
        <v>12</v>
      </c>
      <c r="H17" s="52">
        <v>0.1</v>
      </c>
      <c r="I17" s="64" t="s">
        <v>833</v>
      </c>
      <c r="J17" s="55" t="s">
        <v>28</v>
      </c>
      <c r="K17" s="54" t="s">
        <v>18</v>
      </c>
      <c r="L17" s="56">
        <v>45000</v>
      </c>
      <c r="M17" s="61">
        <v>45000</v>
      </c>
    </row>
    <row r="18" spans="2:13" x14ac:dyDescent="0.2">
      <c r="B18" s="58"/>
      <c r="C18" s="78"/>
      <c r="D18" s="51"/>
      <c r="E18" s="528"/>
      <c r="F18" s="59"/>
      <c r="G18" s="51"/>
      <c r="H18" s="52"/>
      <c r="I18" s="54"/>
      <c r="J18" s="55"/>
      <c r="K18" s="54"/>
      <c r="L18" s="60"/>
      <c r="M18" s="61"/>
    </row>
    <row r="19" spans="2:13" x14ac:dyDescent="0.2">
      <c r="B19" s="47" t="s">
        <v>701</v>
      </c>
      <c r="C19" s="78"/>
      <c r="D19" s="49"/>
      <c r="E19" s="528"/>
      <c r="F19" s="59"/>
      <c r="G19" s="51"/>
      <c r="H19" s="52"/>
      <c r="I19" s="54"/>
      <c r="J19" s="55"/>
      <c r="K19" s="54"/>
      <c r="L19" s="56"/>
      <c r="M19" s="57">
        <f>SUM(M20:M23)</f>
        <v>39000</v>
      </c>
    </row>
    <row r="20" spans="2:13" ht="15" customHeight="1" x14ac:dyDescent="0.2">
      <c r="B20" s="65" t="s">
        <v>672</v>
      </c>
      <c r="C20" s="78">
        <v>32997</v>
      </c>
      <c r="D20" s="51" t="s">
        <v>690</v>
      </c>
      <c r="E20" s="530" t="s">
        <v>673</v>
      </c>
      <c r="F20" s="59" t="s">
        <v>554</v>
      </c>
      <c r="G20" s="63" t="s">
        <v>676</v>
      </c>
      <c r="H20" s="52">
        <v>1.4999999999999999E-2</v>
      </c>
      <c r="I20" s="54" t="s">
        <v>37</v>
      </c>
      <c r="J20" s="55" t="s">
        <v>37</v>
      </c>
      <c r="K20" s="54" t="s">
        <v>18</v>
      </c>
      <c r="L20" s="60">
        <v>6000</v>
      </c>
      <c r="M20" s="61">
        <v>6000</v>
      </c>
    </row>
    <row r="21" spans="2:13" ht="15" customHeight="1" x14ac:dyDescent="0.2">
      <c r="B21" s="58" t="s">
        <v>17</v>
      </c>
      <c r="C21" s="78">
        <f>DATE(90,5,24)</f>
        <v>33017</v>
      </c>
      <c r="D21" s="51" t="s">
        <v>551</v>
      </c>
      <c r="E21" s="528" t="s">
        <v>1826</v>
      </c>
      <c r="F21" s="59" t="s">
        <v>682</v>
      </c>
      <c r="G21" s="51" t="s">
        <v>12</v>
      </c>
      <c r="H21" s="52" t="s">
        <v>684</v>
      </c>
      <c r="I21" s="54" t="s">
        <v>309</v>
      </c>
      <c r="J21" s="55" t="s">
        <v>128</v>
      </c>
      <c r="K21" s="54" t="s">
        <v>18</v>
      </c>
      <c r="L21" s="60">
        <v>10000</v>
      </c>
      <c r="M21" s="61">
        <v>10000</v>
      </c>
    </row>
    <row r="22" spans="2:13" ht="15" customHeight="1" x14ac:dyDescent="0.2">
      <c r="B22" s="65" t="s">
        <v>675</v>
      </c>
      <c r="C22" s="78">
        <v>33067</v>
      </c>
      <c r="D22" s="51" t="s">
        <v>557</v>
      </c>
      <c r="E22" s="528" t="s">
        <v>558</v>
      </c>
      <c r="F22" s="59" t="s">
        <v>64</v>
      </c>
      <c r="G22" s="63" t="s">
        <v>561</v>
      </c>
      <c r="H22" s="52">
        <v>8.3000000000000004E-2</v>
      </c>
      <c r="I22" s="64" t="s">
        <v>833</v>
      </c>
      <c r="J22" s="55" t="s">
        <v>309</v>
      </c>
      <c r="K22" s="54" t="s">
        <v>18</v>
      </c>
      <c r="L22" s="60">
        <v>13000</v>
      </c>
      <c r="M22" s="61">
        <v>13000</v>
      </c>
    </row>
    <row r="23" spans="2:13" ht="15" customHeight="1" x14ac:dyDescent="0.2">
      <c r="B23" s="58" t="s">
        <v>19</v>
      </c>
      <c r="C23" s="78">
        <f>DATE(90,8,24)</f>
        <v>33109</v>
      </c>
      <c r="D23" s="51" t="s">
        <v>471</v>
      </c>
      <c r="E23" s="528" t="s">
        <v>1826</v>
      </c>
      <c r="F23" s="59" t="s">
        <v>682</v>
      </c>
      <c r="G23" s="51" t="s">
        <v>12</v>
      </c>
      <c r="H23" s="52" t="s">
        <v>14</v>
      </c>
      <c r="I23" s="54" t="s">
        <v>309</v>
      </c>
      <c r="J23" s="55" t="s">
        <v>16</v>
      </c>
      <c r="K23" s="54" t="s">
        <v>18</v>
      </c>
      <c r="L23" s="60">
        <v>10000</v>
      </c>
      <c r="M23" s="61">
        <v>10000</v>
      </c>
    </row>
    <row r="24" spans="2:13" x14ac:dyDescent="0.2">
      <c r="B24" s="58"/>
      <c r="C24" s="78"/>
      <c r="D24" s="51"/>
      <c r="E24" s="528"/>
      <c r="F24" s="59"/>
      <c r="G24" s="51"/>
      <c r="H24" s="52"/>
      <c r="I24" s="54"/>
      <c r="J24" s="55"/>
      <c r="K24" s="54"/>
      <c r="L24" s="60"/>
      <c r="M24" s="61"/>
    </row>
    <row r="25" spans="2:13" x14ac:dyDescent="0.2">
      <c r="B25" s="47" t="s">
        <v>555</v>
      </c>
      <c r="C25" s="78"/>
      <c r="D25" s="49"/>
      <c r="E25" s="528"/>
      <c r="F25" s="59"/>
      <c r="G25" s="51"/>
      <c r="H25" s="52"/>
      <c r="I25" s="54"/>
      <c r="J25" s="55"/>
      <c r="K25" s="54"/>
      <c r="L25" s="56"/>
      <c r="M25" s="57">
        <f>SUM(M26)</f>
        <v>40000</v>
      </c>
    </row>
    <row r="26" spans="2:13" ht="15" customHeight="1" x14ac:dyDescent="0.2">
      <c r="B26" s="65" t="s">
        <v>674</v>
      </c>
      <c r="C26" s="78">
        <v>33003</v>
      </c>
      <c r="D26" s="51" t="s">
        <v>97</v>
      </c>
      <c r="E26" s="528" t="s">
        <v>1827</v>
      </c>
      <c r="F26" s="59" t="s">
        <v>54</v>
      </c>
      <c r="G26" s="51" t="s">
        <v>69</v>
      </c>
      <c r="H26" s="52" t="s">
        <v>97</v>
      </c>
      <c r="I26" s="54" t="s">
        <v>556</v>
      </c>
      <c r="J26" s="66" t="s">
        <v>834</v>
      </c>
      <c r="K26" s="54" t="s">
        <v>18</v>
      </c>
      <c r="L26" s="60">
        <v>40000</v>
      </c>
      <c r="M26" s="61">
        <v>40000</v>
      </c>
    </row>
    <row r="27" spans="2:13" x14ac:dyDescent="0.2">
      <c r="B27" s="65"/>
      <c r="C27" s="78"/>
      <c r="D27" s="51"/>
      <c r="E27" s="528"/>
      <c r="F27" s="59"/>
      <c r="G27" s="51"/>
      <c r="H27" s="52"/>
      <c r="I27" s="54"/>
      <c r="J27" s="66"/>
      <c r="K27" s="54"/>
      <c r="L27" s="60"/>
      <c r="M27" s="61"/>
    </row>
    <row r="28" spans="2:13" x14ac:dyDescent="0.2">
      <c r="B28" s="47" t="s">
        <v>702</v>
      </c>
      <c r="C28" s="78"/>
      <c r="D28" s="49"/>
      <c r="E28" s="528"/>
      <c r="F28" s="59"/>
      <c r="G28" s="51"/>
      <c r="H28" s="52"/>
      <c r="I28" s="54"/>
      <c r="J28" s="55"/>
      <c r="K28" s="54"/>
      <c r="L28" s="56"/>
      <c r="M28" s="57">
        <f>SUM(M29:M31)</f>
        <v>35060</v>
      </c>
    </row>
    <row r="29" spans="2:13" ht="15" customHeight="1" x14ac:dyDescent="0.2">
      <c r="B29" s="443" t="s">
        <v>38</v>
      </c>
      <c r="C29" s="78">
        <f>DATE(90,2,3)</f>
        <v>32907</v>
      </c>
      <c r="D29" s="51" t="s">
        <v>34</v>
      </c>
      <c r="E29" s="528" t="s">
        <v>35</v>
      </c>
      <c r="F29" s="59" t="s">
        <v>11</v>
      </c>
      <c r="G29" s="51" t="s">
        <v>36</v>
      </c>
      <c r="H29" s="52">
        <v>0</v>
      </c>
      <c r="I29" s="54" t="s">
        <v>28</v>
      </c>
      <c r="J29" s="55" t="s">
        <v>37</v>
      </c>
      <c r="K29" s="54" t="s">
        <v>39</v>
      </c>
      <c r="L29" s="68">
        <v>106</v>
      </c>
      <c r="M29" s="69">
        <v>210</v>
      </c>
    </row>
    <row r="30" spans="2:13" ht="15" customHeight="1" x14ac:dyDescent="0.2">
      <c r="B30" s="443" t="s">
        <v>30</v>
      </c>
      <c r="C30" s="78">
        <f>33235-59</f>
        <v>33176</v>
      </c>
      <c r="D30" s="51" t="s">
        <v>24</v>
      </c>
      <c r="E30" s="529" t="s">
        <v>1828</v>
      </c>
      <c r="F30" s="59" t="s">
        <v>26</v>
      </c>
      <c r="G30" s="51" t="s">
        <v>27</v>
      </c>
      <c r="H30" s="52">
        <v>0.04</v>
      </c>
      <c r="I30" s="54" t="s">
        <v>28</v>
      </c>
      <c r="J30" s="55" t="s">
        <v>29</v>
      </c>
      <c r="K30" s="54" t="s">
        <v>31</v>
      </c>
      <c r="L30" s="56">
        <v>16232</v>
      </c>
      <c r="M30" s="61">
        <v>28986</v>
      </c>
    </row>
    <row r="31" spans="2:13" ht="15" customHeight="1" x14ac:dyDescent="0.2">
      <c r="B31" s="443" t="s">
        <v>51</v>
      </c>
      <c r="C31" s="78">
        <f>DATE(90,12,29)</f>
        <v>33236</v>
      </c>
      <c r="D31" s="51" t="s">
        <v>47</v>
      </c>
      <c r="E31" s="528" t="s">
        <v>48</v>
      </c>
      <c r="F31" s="59" t="s">
        <v>49</v>
      </c>
      <c r="G31" s="63" t="s">
        <v>50</v>
      </c>
      <c r="H31" s="52">
        <v>0</v>
      </c>
      <c r="I31" s="54" t="s">
        <v>28</v>
      </c>
      <c r="J31" s="55" t="s">
        <v>37</v>
      </c>
      <c r="K31" s="54" t="s">
        <v>39</v>
      </c>
      <c r="L31" s="56">
        <v>3109</v>
      </c>
      <c r="M31" s="61">
        <v>5864</v>
      </c>
    </row>
    <row r="32" spans="2:13" x14ac:dyDescent="0.2">
      <c r="B32" s="67"/>
      <c r="C32" s="78"/>
      <c r="D32" s="51"/>
      <c r="E32" s="528"/>
      <c r="F32" s="59"/>
      <c r="G32" s="63"/>
      <c r="H32" s="52"/>
      <c r="I32" s="54"/>
      <c r="J32" s="55"/>
      <c r="K32" s="54"/>
      <c r="L32" s="56"/>
      <c r="M32" s="61"/>
    </row>
    <row r="33" spans="2:13" x14ac:dyDescent="0.2">
      <c r="B33" s="47" t="s">
        <v>708</v>
      </c>
      <c r="C33" s="78"/>
      <c r="D33" s="49"/>
      <c r="E33" s="528"/>
      <c r="F33" s="59"/>
      <c r="G33" s="51"/>
      <c r="H33" s="52"/>
      <c r="I33" s="54"/>
      <c r="J33" s="55"/>
      <c r="K33" s="54"/>
      <c r="L33" s="56"/>
      <c r="M33" s="57">
        <f>SUM(M34:M38)</f>
        <v>69099.895049999992</v>
      </c>
    </row>
    <row r="34" spans="2:13" ht="15" customHeight="1" x14ac:dyDescent="0.2">
      <c r="B34" s="444" t="s">
        <v>714</v>
      </c>
      <c r="C34" s="78">
        <v>32941</v>
      </c>
      <c r="D34" s="51" t="s">
        <v>715</v>
      </c>
      <c r="E34" s="529" t="s">
        <v>25</v>
      </c>
      <c r="F34" s="59" t="s">
        <v>26</v>
      </c>
      <c r="G34" s="51" t="s">
        <v>27</v>
      </c>
      <c r="H34" s="52">
        <v>0</v>
      </c>
      <c r="I34" s="54" t="s">
        <v>462</v>
      </c>
      <c r="J34" s="55" t="s">
        <v>309</v>
      </c>
      <c r="K34" s="54" t="s">
        <v>716</v>
      </c>
      <c r="L34" s="68">
        <v>15909.877</v>
      </c>
      <c r="M34" s="69">
        <f>+L34</f>
        <v>15909.877</v>
      </c>
    </row>
    <row r="35" spans="2:13" ht="15" customHeight="1" x14ac:dyDescent="0.2">
      <c r="B35" s="444" t="s">
        <v>717</v>
      </c>
      <c r="C35" s="78">
        <v>33079</v>
      </c>
      <c r="D35" s="51" t="s">
        <v>718</v>
      </c>
      <c r="E35" s="529" t="s">
        <v>1829</v>
      </c>
      <c r="F35" s="59" t="s">
        <v>26</v>
      </c>
      <c r="G35" s="51" t="s">
        <v>27</v>
      </c>
      <c r="H35" s="52">
        <v>9.6500000000000002E-2</v>
      </c>
      <c r="I35" s="54" t="s">
        <v>408</v>
      </c>
      <c r="J35" s="55" t="s">
        <v>443</v>
      </c>
      <c r="K35" s="54" t="s">
        <v>18</v>
      </c>
      <c r="L35" s="60">
        <v>24000</v>
      </c>
      <c r="M35" s="61">
        <f>+L35</f>
        <v>24000</v>
      </c>
    </row>
    <row r="36" spans="2:13" ht="15" customHeight="1" x14ac:dyDescent="0.2">
      <c r="B36" s="444" t="s">
        <v>1830</v>
      </c>
      <c r="C36" s="78">
        <v>33236</v>
      </c>
      <c r="D36" s="51" t="s">
        <v>709</v>
      </c>
      <c r="E36" s="529" t="s">
        <v>25</v>
      </c>
      <c r="F36" s="59" t="s">
        <v>26</v>
      </c>
      <c r="G36" s="63" t="s">
        <v>27</v>
      </c>
      <c r="H36" s="52">
        <v>0.09</v>
      </c>
      <c r="I36" s="54" t="s">
        <v>356</v>
      </c>
      <c r="J36" s="55" t="s">
        <v>443</v>
      </c>
      <c r="K36" s="54" t="s">
        <v>18</v>
      </c>
      <c r="L36" s="56">
        <v>20250</v>
      </c>
      <c r="M36" s="61">
        <f>+L36</f>
        <v>20250</v>
      </c>
    </row>
    <row r="37" spans="2:13" ht="15" customHeight="1" x14ac:dyDescent="0.2">
      <c r="B37" s="444" t="s">
        <v>710</v>
      </c>
      <c r="C37" s="78">
        <v>33228</v>
      </c>
      <c r="D37" s="51" t="s">
        <v>711</v>
      </c>
      <c r="E37" s="529" t="s">
        <v>1829</v>
      </c>
      <c r="F37" s="59" t="s">
        <v>26</v>
      </c>
      <c r="G37" s="63" t="s">
        <v>27</v>
      </c>
      <c r="H37" s="52">
        <v>0.1095</v>
      </c>
      <c r="I37" s="54" t="s">
        <v>356</v>
      </c>
      <c r="J37" s="55" t="s">
        <v>443</v>
      </c>
      <c r="K37" s="54" t="s">
        <v>18</v>
      </c>
      <c r="L37" s="56">
        <v>5525.2120999999997</v>
      </c>
      <c r="M37" s="61">
        <f>+L37</f>
        <v>5525.2120999999997</v>
      </c>
    </row>
    <row r="38" spans="2:13" ht="15" customHeight="1" thickBot="1" x14ac:dyDescent="0.25">
      <c r="B38" s="445" t="s">
        <v>712</v>
      </c>
      <c r="C38" s="82">
        <v>33228</v>
      </c>
      <c r="D38" s="70" t="s">
        <v>711</v>
      </c>
      <c r="E38" s="531" t="s">
        <v>1829</v>
      </c>
      <c r="F38" s="618" t="s">
        <v>26</v>
      </c>
      <c r="G38" s="71" t="s">
        <v>27</v>
      </c>
      <c r="H38" s="72">
        <v>0.1095</v>
      </c>
      <c r="I38" s="73" t="s">
        <v>356</v>
      </c>
      <c r="J38" s="74" t="s">
        <v>443</v>
      </c>
      <c r="K38" s="73" t="s">
        <v>18</v>
      </c>
      <c r="L38" s="75">
        <v>3414.8059499999999</v>
      </c>
      <c r="M38" s="76">
        <f>+L38</f>
        <v>3414.8059499999999</v>
      </c>
    </row>
    <row r="39" spans="2:13" ht="15" customHeight="1" thickTop="1" x14ac:dyDescent="0.2">
      <c r="B39" s="458"/>
      <c r="C39" s="459"/>
      <c r="D39" s="460"/>
      <c r="E39" s="532"/>
      <c r="F39" s="619"/>
      <c r="G39" s="461"/>
      <c r="H39" s="462"/>
      <c r="I39" s="463"/>
      <c r="J39" s="464"/>
      <c r="K39" s="463"/>
      <c r="L39" s="465"/>
      <c r="M39" s="466"/>
    </row>
    <row r="40" spans="2:13" s="46" customFormat="1" ht="18" x14ac:dyDescent="0.2">
      <c r="B40" s="36">
        <v>1991</v>
      </c>
      <c r="C40" s="37"/>
      <c r="D40" s="38"/>
      <c r="E40" s="527"/>
      <c r="F40" s="617"/>
      <c r="G40" s="39"/>
      <c r="H40" s="40"/>
      <c r="I40" s="42"/>
      <c r="J40" s="43"/>
      <c r="K40" s="42"/>
      <c r="L40" s="44"/>
      <c r="M40" s="45">
        <f>+M41+M44+M51+M54</f>
        <v>982848</v>
      </c>
    </row>
    <row r="41" spans="2:13" x14ac:dyDescent="0.2">
      <c r="B41" s="47" t="s">
        <v>553</v>
      </c>
      <c r="C41" s="48"/>
      <c r="D41" s="49"/>
      <c r="E41" s="528"/>
      <c r="F41" s="59"/>
      <c r="G41" s="51"/>
      <c r="H41" s="52"/>
      <c r="I41" s="54"/>
      <c r="J41" s="55"/>
      <c r="K41" s="54"/>
      <c r="L41" s="56"/>
      <c r="M41" s="57">
        <f>+M42</f>
        <v>5000</v>
      </c>
    </row>
    <row r="42" spans="2:13" ht="15" customHeight="1" x14ac:dyDescent="0.2">
      <c r="B42" s="446" t="s">
        <v>664</v>
      </c>
      <c r="C42" s="78">
        <v>33424</v>
      </c>
      <c r="D42" s="627" t="s">
        <v>563</v>
      </c>
      <c r="E42" s="528" t="s">
        <v>562</v>
      </c>
      <c r="F42" s="59" t="s">
        <v>64</v>
      </c>
      <c r="G42" s="51" t="s">
        <v>76</v>
      </c>
      <c r="H42" s="52" t="s">
        <v>559</v>
      </c>
      <c r="I42" s="54" t="s">
        <v>308</v>
      </c>
      <c r="J42" s="55" t="s">
        <v>560</v>
      </c>
      <c r="K42" s="54" t="s">
        <v>18</v>
      </c>
      <c r="L42" s="56">
        <v>5000</v>
      </c>
      <c r="M42" s="61">
        <v>5000</v>
      </c>
    </row>
    <row r="43" spans="2:13" x14ac:dyDescent="0.2">
      <c r="B43" s="77"/>
      <c r="C43" s="78"/>
      <c r="D43" s="627"/>
      <c r="E43" s="528"/>
      <c r="F43" s="59"/>
      <c r="G43" s="51"/>
      <c r="H43" s="52"/>
      <c r="I43" s="54"/>
      <c r="J43" s="55"/>
      <c r="K43" s="54"/>
      <c r="L43" s="56"/>
      <c r="M43" s="61"/>
    </row>
    <row r="44" spans="2:13" x14ac:dyDescent="0.2">
      <c r="B44" s="47" t="s">
        <v>555</v>
      </c>
      <c r="C44" s="78"/>
      <c r="D44" s="49"/>
      <c r="E44" s="528"/>
      <c r="F44" s="59"/>
      <c r="G44" s="51"/>
      <c r="H44" s="52"/>
      <c r="I44" s="54"/>
      <c r="J44" s="55"/>
      <c r="K44" s="54"/>
      <c r="L44" s="56"/>
      <c r="M44" s="57">
        <f>SUM(M45:M49)</f>
        <v>539900</v>
      </c>
    </row>
    <row r="45" spans="2:13" ht="15" customHeight="1" x14ac:dyDescent="0.2">
      <c r="B45" s="442" t="s">
        <v>1831</v>
      </c>
      <c r="C45" s="78">
        <f>DATE(91,9,10)</f>
        <v>33491</v>
      </c>
      <c r="D45" s="51" t="s">
        <v>62</v>
      </c>
      <c r="E45" s="528" t="s">
        <v>63</v>
      </c>
      <c r="F45" s="59" t="s">
        <v>64</v>
      </c>
      <c r="G45" s="51" t="s">
        <v>65</v>
      </c>
      <c r="H45" s="52" t="s">
        <v>66</v>
      </c>
      <c r="I45" s="79" t="s">
        <v>833</v>
      </c>
      <c r="J45" s="55" t="s">
        <v>67</v>
      </c>
      <c r="K45" s="54" t="s">
        <v>18</v>
      </c>
      <c r="L45" s="56">
        <v>20000</v>
      </c>
      <c r="M45" s="61">
        <v>20000</v>
      </c>
    </row>
    <row r="46" spans="2:13" ht="15" customHeight="1" x14ac:dyDescent="0.2">
      <c r="B46" s="442" t="s">
        <v>1832</v>
      </c>
      <c r="C46" s="78">
        <v>33491</v>
      </c>
      <c r="D46" s="51" t="s">
        <v>52</v>
      </c>
      <c r="E46" s="528" t="s">
        <v>53</v>
      </c>
      <c r="F46" s="59" t="s">
        <v>54</v>
      </c>
      <c r="G46" s="51" t="s">
        <v>13</v>
      </c>
      <c r="H46" s="52" t="s">
        <v>55</v>
      </c>
      <c r="I46" s="54" t="s">
        <v>101</v>
      </c>
      <c r="J46" s="55" t="s">
        <v>57</v>
      </c>
      <c r="K46" s="54" t="s">
        <v>18</v>
      </c>
      <c r="L46" s="56">
        <v>425000</v>
      </c>
      <c r="M46" s="61">
        <v>425000</v>
      </c>
    </row>
    <row r="47" spans="2:13" ht="15" customHeight="1" x14ac:dyDescent="0.2">
      <c r="B47" s="442" t="s">
        <v>1833</v>
      </c>
      <c r="C47" s="78">
        <f>DATE(91,9,18)</f>
        <v>33499</v>
      </c>
      <c r="D47" s="51" t="s">
        <v>58</v>
      </c>
      <c r="E47" s="528" t="s">
        <v>59</v>
      </c>
      <c r="F47" s="59" t="s">
        <v>54</v>
      </c>
      <c r="G47" s="51" t="s">
        <v>13</v>
      </c>
      <c r="H47" s="52" t="s">
        <v>55</v>
      </c>
      <c r="I47" s="54" t="s">
        <v>101</v>
      </c>
      <c r="J47" s="55" t="s">
        <v>57</v>
      </c>
      <c r="K47" s="54" t="s">
        <v>18</v>
      </c>
      <c r="L47" s="56">
        <v>4900</v>
      </c>
      <c r="M47" s="61">
        <v>4900</v>
      </c>
    </row>
    <row r="48" spans="2:13" ht="15" customHeight="1" x14ac:dyDescent="0.2">
      <c r="B48" s="442" t="s">
        <v>1834</v>
      </c>
      <c r="C48" s="78">
        <f>DATE(91,10,2)</f>
        <v>33513</v>
      </c>
      <c r="D48" s="51" t="s">
        <v>62</v>
      </c>
      <c r="E48" s="528" t="s">
        <v>75</v>
      </c>
      <c r="F48" s="59" t="s">
        <v>64</v>
      </c>
      <c r="G48" s="51" t="s">
        <v>76</v>
      </c>
      <c r="H48" s="52" t="s">
        <v>66</v>
      </c>
      <c r="I48" s="54" t="s">
        <v>77</v>
      </c>
      <c r="J48" s="55" t="s">
        <v>78</v>
      </c>
      <c r="K48" s="54" t="s">
        <v>18</v>
      </c>
      <c r="L48" s="56">
        <v>20000</v>
      </c>
      <c r="M48" s="61">
        <v>20000</v>
      </c>
    </row>
    <row r="49" spans="2:13" ht="15" customHeight="1" x14ac:dyDescent="0.2">
      <c r="B49" s="442" t="s">
        <v>1835</v>
      </c>
      <c r="C49" s="78">
        <f>DATE(91,11,26)</f>
        <v>33568</v>
      </c>
      <c r="D49" s="51" t="s">
        <v>62</v>
      </c>
      <c r="E49" s="528" t="s">
        <v>68</v>
      </c>
      <c r="F49" s="59" t="s">
        <v>54</v>
      </c>
      <c r="G49" s="51" t="s">
        <v>69</v>
      </c>
      <c r="H49" s="80" t="s">
        <v>836</v>
      </c>
      <c r="I49" s="54" t="s">
        <v>835</v>
      </c>
      <c r="J49" s="55" t="s">
        <v>15</v>
      </c>
      <c r="K49" s="54" t="s">
        <v>18</v>
      </c>
      <c r="L49" s="56">
        <v>70000</v>
      </c>
      <c r="M49" s="61">
        <v>70000</v>
      </c>
    </row>
    <row r="50" spans="2:13" x14ac:dyDescent="0.2">
      <c r="B50" s="58"/>
      <c r="C50" s="78"/>
      <c r="D50" s="51"/>
      <c r="E50" s="528"/>
      <c r="F50" s="59"/>
      <c r="G50" s="51"/>
      <c r="H50" s="52"/>
      <c r="I50" s="54"/>
      <c r="J50" s="55"/>
      <c r="K50" s="54"/>
      <c r="L50" s="56"/>
      <c r="M50" s="61"/>
    </row>
    <row r="51" spans="2:13" x14ac:dyDescent="0.2">
      <c r="B51" s="47" t="s">
        <v>701</v>
      </c>
      <c r="C51" s="78"/>
      <c r="D51" s="49"/>
      <c r="E51" s="528"/>
      <c r="F51" s="59"/>
      <c r="G51" s="51"/>
      <c r="H51" s="52"/>
      <c r="I51" s="54"/>
      <c r="J51" s="55"/>
      <c r="K51" s="54"/>
      <c r="L51" s="56"/>
      <c r="M51" s="57">
        <f>+M52</f>
        <v>421448</v>
      </c>
    </row>
    <row r="52" spans="2:13" ht="15" customHeight="1" x14ac:dyDescent="0.2">
      <c r="B52" s="442" t="s">
        <v>1836</v>
      </c>
      <c r="C52" s="78">
        <f>DATE(91,11,26)</f>
        <v>33568</v>
      </c>
      <c r="D52" s="51" t="s">
        <v>70</v>
      </c>
      <c r="E52" s="528" t="s">
        <v>71</v>
      </c>
      <c r="F52" s="59" t="s">
        <v>54</v>
      </c>
      <c r="G52" s="51" t="s">
        <v>13</v>
      </c>
      <c r="H52" s="52">
        <v>0.03</v>
      </c>
      <c r="I52" s="54" t="s">
        <v>72</v>
      </c>
      <c r="J52" s="55" t="s">
        <v>73</v>
      </c>
      <c r="K52" s="54" t="s">
        <v>74</v>
      </c>
      <c r="L52" s="56">
        <v>54620000</v>
      </c>
      <c r="M52" s="61">
        <v>421448</v>
      </c>
    </row>
    <row r="53" spans="2:13" x14ac:dyDescent="0.2">
      <c r="B53" s="58"/>
      <c r="C53" s="78"/>
      <c r="D53" s="51"/>
      <c r="E53" s="528"/>
      <c r="F53" s="59"/>
      <c r="G53" s="51"/>
      <c r="H53" s="52"/>
      <c r="I53" s="54"/>
      <c r="J53" s="55"/>
      <c r="K53" s="54"/>
      <c r="L53" s="56"/>
      <c r="M53" s="61"/>
    </row>
    <row r="54" spans="2:13" x14ac:dyDescent="0.2">
      <c r="B54" s="47" t="s">
        <v>702</v>
      </c>
      <c r="C54" s="78"/>
      <c r="D54" s="49"/>
      <c r="E54" s="528"/>
      <c r="F54" s="59"/>
      <c r="G54" s="51"/>
      <c r="H54" s="52"/>
      <c r="I54" s="54"/>
      <c r="J54" s="55"/>
      <c r="K54" s="54"/>
      <c r="L54" s="56"/>
      <c r="M54" s="57">
        <f>+M55</f>
        <v>16500</v>
      </c>
    </row>
    <row r="55" spans="2:13" ht="15" customHeight="1" thickBot="1" x14ac:dyDescent="0.25">
      <c r="B55" s="448" t="s">
        <v>1837</v>
      </c>
      <c r="C55" s="82">
        <v>33500</v>
      </c>
      <c r="D55" s="70" t="s">
        <v>60</v>
      </c>
      <c r="E55" s="533" t="s">
        <v>25</v>
      </c>
      <c r="F55" s="618" t="s">
        <v>26</v>
      </c>
      <c r="G55" s="70" t="s">
        <v>27</v>
      </c>
      <c r="H55" s="72">
        <v>7.0000000000000007E-2</v>
      </c>
      <c r="I55" s="73" t="s">
        <v>28</v>
      </c>
      <c r="J55" s="74" t="s">
        <v>61</v>
      </c>
      <c r="K55" s="73" t="s">
        <v>18</v>
      </c>
      <c r="L55" s="75">
        <v>16500</v>
      </c>
      <c r="M55" s="76">
        <v>16500</v>
      </c>
    </row>
    <row r="56" spans="2:13" ht="15" customHeight="1" thickTop="1" x14ac:dyDescent="0.2">
      <c r="B56" s="467"/>
      <c r="C56" s="459"/>
      <c r="D56" s="460"/>
      <c r="E56" s="534"/>
      <c r="F56" s="619"/>
      <c r="G56" s="460"/>
      <c r="H56" s="462"/>
      <c r="I56" s="463"/>
      <c r="J56" s="464"/>
      <c r="K56" s="463"/>
      <c r="L56" s="465"/>
      <c r="M56" s="466"/>
    </row>
    <row r="57" spans="2:13" s="46" customFormat="1" ht="18" x14ac:dyDescent="0.2">
      <c r="B57" s="36">
        <v>1992</v>
      </c>
      <c r="C57" s="447"/>
      <c r="D57" s="38"/>
      <c r="E57" s="527"/>
      <c r="F57" s="617"/>
      <c r="G57" s="39"/>
      <c r="H57" s="40"/>
      <c r="I57" s="42"/>
      <c r="J57" s="43"/>
      <c r="K57" s="42"/>
      <c r="L57" s="44"/>
      <c r="M57" s="45">
        <f>+M58+M62+M68+M80</f>
        <v>1836893</v>
      </c>
    </row>
    <row r="58" spans="2:13" x14ac:dyDescent="0.2">
      <c r="B58" s="47" t="s">
        <v>706</v>
      </c>
      <c r="C58" s="78"/>
      <c r="D58" s="49"/>
      <c r="E58" s="528"/>
      <c r="F58" s="59"/>
      <c r="G58" s="51"/>
      <c r="H58" s="52"/>
      <c r="I58" s="54"/>
      <c r="J58" s="55"/>
      <c r="K58" s="54"/>
      <c r="L58" s="56"/>
      <c r="M58" s="57">
        <f>SUM(M59:M60)</f>
        <v>16938</v>
      </c>
    </row>
    <row r="59" spans="2:13" ht="15" customHeight="1" x14ac:dyDescent="0.2">
      <c r="B59" s="58" t="s">
        <v>94</v>
      </c>
      <c r="C59" s="78">
        <v>33815</v>
      </c>
      <c r="D59" s="628" t="s">
        <v>1838</v>
      </c>
      <c r="E59" s="528" t="s">
        <v>25</v>
      </c>
      <c r="F59" s="59" t="s">
        <v>26</v>
      </c>
      <c r="G59" s="51" t="s">
        <v>27</v>
      </c>
      <c r="H59" s="514" t="s">
        <v>1880</v>
      </c>
      <c r="I59" s="54" t="s">
        <v>93</v>
      </c>
      <c r="J59" s="55" t="s">
        <v>44</v>
      </c>
      <c r="K59" s="54" t="s">
        <v>18</v>
      </c>
      <c r="L59" s="56">
        <v>5078</v>
      </c>
      <c r="M59" s="61">
        <v>5078</v>
      </c>
    </row>
    <row r="60" spans="2:13" ht="15" customHeight="1" x14ac:dyDescent="0.2">
      <c r="B60" s="58" t="s">
        <v>122</v>
      </c>
      <c r="C60" s="78">
        <f>DATE(92,11,17)</f>
        <v>33925</v>
      </c>
      <c r="D60" s="628" t="s">
        <v>119</v>
      </c>
      <c r="E60" s="528" t="s">
        <v>120</v>
      </c>
      <c r="F60" s="59" t="s">
        <v>64</v>
      </c>
      <c r="G60" s="63" t="s">
        <v>668</v>
      </c>
      <c r="H60" s="52">
        <v>7.4999999999999997E-2</v>
      </c>
      <c r="I60" s="54" t="s">
        <v>121</v>
      </c>
      <c r="J60" s="55" t="s">
        <v>78</v>
      </c>
      <c r="K60" s="54" t="s">
        <v>18</v>
      </c>
      <c r="L60" s="56">
        <v>11860</v>
      </c>
      <c r="M60" s="61">
        <v>11860</v>
      </c>
    </row>
    <row r="61" spans="2:13" x14ac:dyDescent="0.2">
      <c r="B61" s="58"/>
      <c r="C61" s="78"/>
      <c r="D61" s="51"/>
      <c r="E61" s="528"/>
      <c r="F61" s="59"/>
      <c r="G61" s="63"/>
      <c r="H61" s="52"/>
      <c r="I61" s="54"/>
      <c r="J61" s="55"/>
      <c r="K61" s="54"/>
      <c r="L61" s="56"/>
      <c r="M61" s="61"/>
    </row>
    <row r="62" spans="2:13" x14ac:dyDescent="0.2">
      <c r="B62" s="47" t="s">
        <v>701</v>
      </c>
      <c r="C62" s="78"/>
      <c r="D62" s="49"/>
      <c r="E62" s="528"/>
      <c r="F62" s="59"/>
      <c r="G62" s="51"/>
      <c r="H62" s="52"/>
      <c r="I62" s="54"/>
      <c r="J62" s="55"/>
      <c r="K62" s="54"/>
      <c r="L62" s="56"/>
      <c r="M62" s="57">
        <f>SUM(M63:M66)</f>
        <v>144430</v>
      </c>
    </row>
    <row r="63" spans="2:13" ht="15" customHeight="1" x14ac:dyDescent="0.2">
      <c r="B63" s="58" t="s">
        <v>91</v>
      </c>
      <c r="C63" s="78">
        <f>DATE(92,5,1)</f>
        <v>33725</v>
      </c>
      <c r="D63" s="51" t="s">
        <v>20</v>
      </c>
      <c r="E63" s="528" t="s">
        <v>87</v>
      </c>
      <c r="F63" s="59" t="s">
        <v>88</v>
      </c>
      <c r="G63" s="51" t="s">
        <v>89</v>
      </c>
      <c r="H63" s="52">
        <v>1.4999999999999999E-2</v>
      </c>
      <c r="I63" s="54" t="s">
        <v>90</v>
      </c>
      <c r="J63" s="55" t="s">
        <v>72</v>
      </c>
      <c r="K63" s="54" t="s">
        <v>92</v>
      </c>
      <c r="L63" s="56">
        <v>14254841</v>
      </c>
      <c r="M63" s="61">
        <v>11450</v>
      </c>
    </row>
    <row r="64" spans="2:13" ht="15" customHeight="1" x14ac:dyDescent="0.2">
      <c r="B64" s="58" t="s">
        <v>109</v>
      </c>
      <c r="C64" s="78">
        <f>DATE(92,8,25)</f>
        <v>33841</v>
      </c>
      <c r="D64" s="51" t="s">
        <v>20</v>
      </c>
      <c r="E64" s="528" t="s">
        <v>108</v>
      </c>
      <c r="F64" s="59" t="s">
        <v>384</v>
      </c>
      <c r="G64" s="51" t="s">
        <v>223</v>
      </c>
      <c r="H64" s="52">
        <v>1.4999999999999999E-2</v>
      </c>
      <c r="I64" s="54" t="s">
        <v>90</v>
      </c>
      <c r="J64" s="55" t="s">
        <v>72</v>
      </c>
      <c r="K64" s="54" t="s">
        <v>110</v>
      </c>
      <c r="L64" s="56">
        <v>14212</v>
      </c>
      <c r="M64" s="61">
        <v>20280</v>
      </c>
    </row>
    <row r="65" spans="2:13" ht="15" customHeight="1" x14ac:dyDescent="0.2">
      <c r="B65" s="58" t="s">
        <v>112</v>
      </c>
      <c r="C65" s="78">
        <f>DATE(92,9,16)</f>
        <v>33863</v>
      </c>
      <c r="D65" s="51" t="s">
        <v>20</v>
      </c>
      <c r="E65" s="528" t="s">
        <v>111</v>
      </c>
      <c r="F65" s="59" t="s">
        <v>64</v>
      </c>
      <c r="G65" s="51" t="s">
        <v>832</v>
      </c>
      <c r="H65" s="52">
        <v>1.4999999999999999E-2</v>
      </c>
      <c r="I65" s="54" t="s">
        <v>90</v>
      </c>
      <c r="J65" s="55" t="s">
        <v>72</v>
      </c>
      <c r="K65" s="54" t="s">
        <v>18</v>
      </c>
      <c r="L65" s="56">
        <v>10000</v>
      </c>
      <c r="M65" s="61">
        <v>10000</v>
      </c>
    </row>
    <row r="66" spans="2:13" ht="15" customHeight="1" x14ac:dyDescent="0.2">
      <c r="B66" s="58" t="s">
        <v>129</v>
      </c>
      <c r="C66" s="78">
        <f>DATE(92,12,18)</f>
        <v>33956</v>
      </c>
      <c r="D66" s="51" t="s">
        <v>127</v>
      </c>
      <c r="E66" s="529" t="s">
        <v>1839</v>
      </c>
      <c r="F66" s="59" t="s">
        <v>54</v>
      </c>
      <c r="G66" s="51" t="s">
        <v>13</v>
      </c>
      <c r="H66" s="52">
        <v>0.03</v>
      </c>
      <c r="I66" s="54" t="s">
        <v>37</v>
      </c>
      <c r="J66" s="55" t="s">
        <v>128</v>
      </c>
      <c r="K66" s="54" t="s">
        <v>74</v>
      </c>
      <c r="L66" s="56">
        <v>12690000</v>
      </c>
      <c r="M66" s="61">
        <v>102700</v>
      </c>
    </row>
    <row r="67" spans="2:13" x14ac:dyDescent="0.2">
      <c r="B67" s="58"/>
      <c r="C67" s="78"/>
      <c r="D67" s="51"/>
      <c r="E67" s="528"/>
      <c r="F67" s="59"/>
      <c r="G67" s="51"/>
      <c r="H67" s="52"/>
      <c r="I67" s="54"/>
      <c r="J67" s="55"/>
      <c r="K67" s="54"/>
      <c r="L67" s="56"/>
      <c r="M67" s="61"/>
    </row>
    <row r="68" spans="2:13" x14ac:dyDescent="0.2">
      <c r="B68" s="47" t="s">
        <v>555</v>
      </c>
      <c r="C68" s="78"/>
      <c r="D68" s="49"/>
      <c r="E68" s="528"/>
      <c r="F68" s="59"/>
      <c r="G68" s="51"/>
      <c r="H68" s="52"/>
      <c r="I68" s="54"/>
      <c r="J68" s="55"/>
      <c r="K68" s="54"/>
      <c r="L68" s="56"/>
      <c r="M68" s="57">
        <f>SUM(M69:M78)</f>
        <v>1669225</v>
      </c>
    </row>
    <row r="69" spans="2:13" ht="15" customHeight="1" x14ac:dyDescent="0.2">
      <c r="B69" s="58" t="s">
        <v>84</v>
      </c>
      <c r="C69" s="78">
        <f>DATE(92,1,4)</f>
        <v>33607</v>
      </c>
      <c r="D69" s="51" t="s">
        <v>79</v>
      </c>
      <c r="E69" s="528" t="s">
        <v>80</v>
      </c>
      <c r="F69" s="59" t="s">
        <v>21</v>
      </c>
      <c r="G69" s="51" t="s">
        <v>81</v>
      </c>
      <c r="H69" s="52" t="s">
        <v>55</v>
      </c>
      <c r="I69" s="54" t="s">
        <v>82</v>
      </c>
      <c r="J69" s="55" t="s">
        <v>83</v>
      </c>
      <c r="K69" s="54" t="s">
        <v>18</v>
      </c>
      <c r="L69" s="56">
        <v>210000</v>
      </c>
      <c r="M69" s="61">
        <v>210000</v>
      </c>
    </row>
    <row r="70" spans="2:13" ht="15" customHeight="1" x14ac:dyDescent="0.2">
      <c r="B70" s="58" t="s">
        <v>86</v>
      </c>
      <c r="C70" s="78">
        <f>DATE(92,5,1)</f>
        <v>33725</v>
      </c>
      <c r="D70" s="51" t="s">
        <v>62</v>
      </c>
      <c r="E70" s="528" t="s">
        <v>85</v>
      </c>
      <c r="F70" s="59" t="s">
        <v>64</v>
      </c>
      <c r="G70" s="51" t="s">
        <v>65</v>
      </c>
      <c r="H70" s="52" t="s">
        <v>66</v>
      </c>
      <c r="I70" s="79" t="s">
        <v>833</v>
      </c>
      <c r="J70" s="55" t="s">
        <v>67</v>
      </c>
      <c r="K70" s="54" t="s">
        <v>18</v>
      </c>
      <c r="L70" s="56">
        <v>20000</v>
      </c>
      <c r="M70" s="61">
        <v>20000</v>
      </c>
    </row>
    <row r="71" spans="2:13" ht="15" customHeight="1" x14ac:dyDescent="0.2">
      <c r="B71" s="58" t="s">
        <v>98</v>
      </c>
      <c r="C71" s="78">
        <f>DATE(92,6,26)</f>
        <v>33781</v>
      </c>
      <c r="D71" s="51" t="s">
        <v>62</v>
      </c>
      <c r="E71" s="528" t="s">
        <v>95</v>
      </c>
      <c r="F71" s="59" t="s">
        <v>64</v>
      </c>
      <c r="G71" s="51" t="s">
        <v>96</v>
      </c>
      <c r="H71" s="52" t="s">
        <v>97</v>
      </c>
      <c r="I71" s="54" t="s">
        <v>44</v>
      </c>
      <c r="J71" s="55" t="s">
        <v>61</v>
      </c>
      <c r="K71" s="54" t="s">
        <v>18</v>
      </c>
      <c r="L71" s="56">
        <v>12600</v>
      </c>
      <c r="M71" s="61">
        <v>12600</v>
      </c>
    </row>
    <row r="72" spans="2:13" ht="15" customHeight="1" x14ac:dyDescent="0.2">
      <c r="B72" s="58" t="s">
        <v>105</v>
      </c>
      <c r="C72" s="78">
        <f>DATE(92,7,12)</f>
        <v>33797</v>
      </c>
      <c r="D72" s="51" t="s">
        <v>103</v>
      </c>
      <c r="E72" s="528" t="s">
        <v>104</v>
      </c>
      <c r="F72" s="59" t="s">
        <v>54</v>
      </c>
      <c r="G72" s="51" t="s">
        <v>13</v>
      </c>
      <c r="H72" s="52" t="s">
        <v>55</v>
      </c>
      <c r="I72" s="54" t="s">
        <v>101</v>
      </c>
      <c r="J72" s="55" t="s">
        <v>57</v>
      </c>
      <c r="K72" s="54" t="s">
        <v>18</v>
      </c>
      <c r="L72" s="56">
        <v>200000</v>
      </c>
      <c r="M72" s="61">
        <v>200000</v>
      </c>
    </row>
    <row r="73" spans="2:13" ht="15" customHeight="1" x14ac:dyDescent="0.2">
      <c r="B73" s="58" t="s">
        <v>105</v>
      </c>
      <c r="C73" s="78">
        <f>DATE(92,7,12)</f>
        <v>33797</v>
      </c>
      <c r="D73" s="51" t="s">
        <v>106</v>
      </c>
      <c r="E73" s="528" t="s">
        <v>107</v>
      </c>
      <c r="F73" s="59" t="s">
        <v>54</v>
      </c>
      <c r="G73" s="51" t="s">
        <v>13</v>
      </c>
      <c r="H73" s="52" t="s">
        <v>55</v>
      </c>
      <c r="I73" s="54" t="s">
        <v>101</v>
      </c>
      <c r="J73" s="55" t="s">
        <v>57</v>
      </c>
      <c r="K73" s="54" t="s">
        <v>18</v>
      </c>
      <c r="L73" s="56">
        <v>21825</v>
      </c>
      <c r="M73" s="61">
        <v>21825</v>
      </c>
    </row>
    <row r="74" spans="2:13" ht="15" customHeight="1" x14ac:dyDescent="0.2">
      <c r="B74" s="58" t="s">
        <v>102</v>
      </c>
      <c r="C74" s="78">
        <f>DATE(92,9,8)</f>
        <v>33855</v>
      </c>
      <c r="D74" s="51" t="s">
        <v>62</v>
      </c>
      <c r="E74" s="528" t="s">
        <v>99</v>
      </c>
      <c r="F74" s="59" t="s">
        <v>64</v>
      </c>
      <c r="G74" s="51" t="s">
        <v>96</v>
      </c>
      <c r="H74" s="52" t="s">
        <v>97</v>
      </c>
      <c r="I74" s="54" t="s">
        <v>100</v>
      </c>
      <c r="J74" s="55" t="s">
        <v>101</v>
      </c>
      <c r="K74" s="54" t="s">
        <v>18</v>
      </c>
      <c r="L74" s="56">
        <v>24800</v>
      </c>
      <c r="M74" s="61">
        <v>24800</v>
      </c>
    </row>
    <row r="75" spans="2:13" ht="15" customHeight="1" x14ac:dyDescent="0.2">
      <c r="B75" s="58" t="s">
        <v>118</v>
      </c>
      <c r="C75" s="78">
        <f>DATE(92,11,14)</f>
        <v>33922</v>
      </c>
      <c r="D75" s="51" t="s">
        <v>113</v>
      </c>
      <c r="E75" s="528" t="s">
        <v>114</v>
      </c>
      <c r="F75" s="59" t="s">
        <v>54</v>
      </c>
      <c r="G75" s="51" t="s">
        <v>115</v>
      </c>
      <c r="H75" s="52" t="s">
        <v>116</v>
      </c>
      <c r="I75" s="54" t="s">
        <v>45</v>
      </c>
      <c r="J75" s="55" t="s">
        <v>117</v>
      </c>
      <c r="K75" s="54" t="s">
        <v>18</v>
      </c>
      <c r="L75" s="56">
        <v>30000</v>
      </c>
      <c r="M75" s="61">
        <v>30000</v>
      </c>
    </row>
    <row r="76" spans="2:13" ht="15" customHeight="1" x14ac:dyDescent="0.2">
      <c r="B76" s="58" t="s">
        <v>124</v>
      </c>
      <c r="C76" s="78">
        <f>DATE(92,11,17)</f>
        <v>33925</v>
      </c>
      <c r="D76" s="51" t="s">
        <v>123</v>
      </c>
      <c r="E76" s="528" t="s">
        <v>53</v>
      </c>
      <c r="F76" s="59" t="s">
        <v>54</v>
      </c>
      <c r="G76" s="51" t="s">
        <v>13</v>
      </c>
      <c r="H76" s="52" t="s">
        <v>116</v>
      </c>
      <c r="I76" s="54" t="s">
        <v>101</v>
      </c>
      <c r="J76" s="55" t="s">
        <v>57</v>
      </c>
      <c r="K76" s="54" t="s">
        <v>18</v>
      </c>
      <c r="L76" s="56">
        <v>300000</v>
      </c>
      <c r="M76" s="61">
        <v>300000</v>
      </c>
    </row>
    <row r="77" spans="2:13" ht="15" customHeight="1" x14ac:dyDescent="0.2">
      <c r="B77" s="58" t="s">
        <v>124</v>
      </c>
      <c r="C77" s="78">
        <f>DATE(92,11,17)</f>
        <v>33925</v>
      </c>
      <c r="D77" s="51" t="s">
        <v>125</v>
      </c>
      <c r="E77" s="529" t="s">
        <v>1841</v>
      </c>
      <c r="F77" s="59" t="s">
        <v>54</v>
      </c>
      <c r="G77" s="51" t="s">
        <v>13</v>
      </c>
      <c r="H77" s="52" t="s">
        <v>116</v>
      </c>
      <c r="I77" s="54" t="s">
        <v>101</v>
      </c>
      <c r="J77" s="55" t="s">
        <v>57</v>
      </c>
      <c r="K77" s="54" t="s">
        <v>18</v>
      </c>
      <c r="L77" s="56">
        <v>450000</v>
      </c>
      <c r="M77" s="61">
        <v>450000</v>
      </c>
    </row>
    <row r="78" spans="2:13" ht="15" customHeight="1" x14ac:dyDescent="0.2">
      <c r="B78" s="58" t="s">
        <v>124</v>
      </c>
      <c r="C78" s="78">
        <f>DATE(92,11,17)</f>
        <v>33925</v>
      </c>
      <c r="D78" s="51" t="s">
        <v>126</v>
      </c>
      <c r="E78" s="528" t="s">
        <v>104</v>
      </c>
      <c r="F78" s="59" t="s">
        <v>54</v>
      </c>
      <c r="G78" s="51" t="s">
        <v>13</v>
      </c>
      <c r="H78" s="52" t="s">
        <v>116</v>
      </c>
      <c r="I78" s="54" t="s">
        <v>101</v>
      </c>
      <c r="J78" s="55" t="s">
        <v>57</v>
      </c>
      <c r="K78" s="54" t="s">
        <v>18</v>
      </c>
      <c r="L78" s="56">
        <v>400000</v>
      </c>
      <c r="M78" s="61">
        <v>400000</v>
      </c>
    </row>
    <row r="79" spans="2:13" x14ac:dyDescent="0.2">
      <c r="B79" s="58"/>
      <c r="C79" s="78"/>
      <c r="D79" s="51"/>
      <c r="E79" s="528"/>
      <c r="F79" s="59"/>
      <c r="G79" s="51"/>
      <c r="H79" s="52"/>
      <c r="I79" s="54"/>
      <c r="J79" s="55"/>
      <c r="K79" s="54"/>
      <c r="L79" s="56"/>
      <c r="M79" s="61"/>
    </row>
    <row r="80" spans="2:13" x14ac:dyDescent="0.2">
      <c r="B80" s="47" t="s">
        <v>702</v>
      </c>
      <c r="C80" s="78"/>
      <c r="D80" s="49"/>
      <c r="E80" s="528"/>
      <c r="F80" s="59"/>
      <c r="G80" s="51"/>
      <c r="H80" s="52"/>
      <c r="I80" s="54"/>
      <c r="J80" s="55"/>
      <c r="K80" s="54"/>
      <c r="L80" s="56"/>
      <c r="M80" s="57">
        <f>+M81</f>
        <v>6300</v>
      </c>
    </row>
    <row r="81" spans="2:13" ht="15" customHeight="1" thickBot="1" x14ac:dyDescent="0.25">
      <c r="B81" s="449" t="s">
        <v>564</v>
      </c>
      <c r="C81" s="82">
        <v>33891</v>
      </c>
      <c r="D81" s="629" t="s">
        <v>1840</v>
      </c>
      <c r="E81" s="531" t="s">
        <v>1867</v>
      </c>
      <c r="F81" s="618" t="s">
        <v>54</v>
      </c>
      <c r="G81" s="70" t="s">
        <v>670</v>
      </c>
      <c r="H81" s="84">
        <v>0</v>
      </c>
      <c r="I81" s="83" t="s">
        <v>833</v>
      </c>
      <c r="J81" s="74" t="s">
        <v>37</v>
      </c>
      <c r="K81" s="73" t="s">
        <v>18</v>
      </c>
      <c r="L81" s="75">
        <v>6300</v>
      </c>
      <c r="M81" s="76">
        <v>6300</v>
      </c>
    </row>
    <row r="82" spans="2:13" ht="15" customHeight="1" thickTop="1" x14ac:dyDescent="0.2">
      <c r="B82" s="469"/>
      <c r="C82" s="459"/>
      <c r="D82" s="630"/>
      <c r="E82" s="532"/>
      <c r="F82" s="619"/>
      <c r="G82" s="460"/>
      <c r="H82" s="471"/>
      <c r="I82" s="470"/>
      <c r="J82" s="464"/>
      <c r="K82" s="463"/>
      <c r="L82" s="465"/>
      <c r="M82" s="466"/>
    </row>
    <row r="83" spans="2:13" s="46" customFormat="1" ht="18" x14ac:dyDescent="0.2">
      <c r="B83" s="36">
        <v>1993</v>
      </c>
      <c r="C83" s="468"/>
      <c r="D83" s="38"/>
      <c r="E83" s="535"/>
      <c r="F83" s="617"/>
      <c r="G83" s="39"/>
      <c r="H83" s="40"/>
      <c r="I83" s="42"/>
      <c r="J83" s="43"/>
      <c r="K83" s="42"/>
      <c r="L83" s="44"/>
      <c r="M83" s="45">
        <f>+M84+M90+M101</f>
        <v>666454</v>
      </c>
    </row>
    <row r="84" spans="2:13" x14ac:dyDescent="0.2">
      <c r="B84" s="47" t="s">
        <v>701</v>
      </c>
      <c r="C84" s="85"/>
      <c r="D84" s="49"/>
      <c r="E84" s="528"/>
      <c r="F84" s="59"/>
      <c r="G84" s="51"/>
      <c r="H84" s="52"/>
      <c r="I84" s="54"/>
      <c r="J84" s="55"/>
      <c r="K84" s="54"/>
      <c r="L84" s="56"/>
      <c r="M84" s="57">
        <f>SUM(M85:M88)</f>
        <v>97357</v>
      </c>
    </row>
    <row r="85" spans="2:13" ht="15" customHeight="1" x14ac:dyDescent="0.2">
      <c r="B85" s="58" t="s">
        <v>166</v>
      </c>
      <c r="C85" s="86">
        <f>DATE(93,9,24)</f>
        <v>34236</v>
      </c>
      <c r="D85" s="51" t="s">
        <v>162</v>
      </c>
      <c r="E85" s="528" t="s">
        <v>163</v>
      </c>
      <c r="F85" s="59" t="s">
        <v>21</v>
      </c>
      <c r="G85" s="51" t="s">
        <v>69</v>
      </c>
      <c r="H85" s="52" t="s">
        <v>162</v>
      </c>
      <c r="I85" s="54" t="s">
        <v>164</v>
      </c>
      <c r="J85" s="55" t="s">
        <v>165</v>
      </c>
      <c r="K85" s="54" t="s">
        <v>74</v>
      </c>
      <c r="L85" s="56">
        <v>5000000</v>
      </c>
      <c r="M85" s="61">
        <v>47200</v>
      </c>
    </row>
    <row r="86" spans="2:13" ht="15" customHeight="1" x14ac:dyDescent="0.2">
      <c r="B86" s="58" t="s">
        <v>173</v>
      </c>
      <c r="C86" s="86">
        <f>DATE(93,10,7)</f>
        <v>34249</v>
      </c>
      <c r="D86" s="51" t="s">
        <v>327</v>
      </c>
      <c r="E86" s="529" t="s">
        <v>1842</v>
      </c>
      <c r="F86" s="59" t="s">
        <v>88</v>
      </c>
      <c r="G86" s="51" t="s">
        <v>171</v>
      </c>
      <c r="H86" s="514" t="s">
        <v>1881</v>
      </c>
      <c r="I86" s="54" t="s">
        <v>37</v>
      </c>
      <c r="J86" s="55" t="s">
        <v>172</v>
      </c>
      <c r="K86" s="54" t="s">
        <v>174</v>
      </c>
      <c r="L86" s="56">
        <v>19500</v>
      </c>
      <c r="M86" s="61">
        <v>12000</v>
      </c>
    </row>
    <row r="87" spans="2:13" ht="15" customHeight="1" x14ac:dyDescent="0.2">
      <c r="B87" s="58" t="s">
        <v>137</v>
      </c>
      <c r="C87" s="86">
        <f>DATE(93,10,9)</f>
        <v>34251</v>
      </c>
      <c r="D87" s="51" t="s">
        <v>136</v>
      </c>
      <c r="E87" s="529" t="s">
        <v>1843</v>
      </c>
      <c r="F87" s="59" t="s">
        <v>88</v>
      </c>
      <c r="G87" s="51" t="s">
        <v>667</v>
      </c>
      <c r="H87" s="52">
        <v>0.04</v>
      </c>
      <c r="I87" s="54" t="s">
        <v>82</v>
      </c>
      <c r="J87" s="55" t="s">
        <v>83</v>
      </c>
      <c r="K87" s="54" t="s">
        <v>138</v>
      </c>
      <c r="L87" s="56">
        <v>50000</v>
      </c>
      <c r="M87" s="61">
        <v>8900</v>
      </c>
    </row>
    <row r="88" spans="2:13" ht="15" customHeight="1" x14ac:dyDescent="0.2">
      <c r="B88" s="58" t="s">
        <v>176</v>
      </c>
      <c r="C88" s="86">
        <f>DATE(93,12,1)</f>
        <v>34304</v>
      </c>
      <c r="D88" s="51" t="s">
        <v>327</v>
      </c>
      <c r="E88" s="528" t="s">
        <v>175</v>
      </c>
      <c r="F88" s="59" t="s">
        <v>54</v>
      </c>
      <c r="G88" s="51" t="s">
        <v>13</v>
      </c>
      <c r="H88" s="514" t="s">
        <v>1881</v>
      </c>
      <c r="I88" s="54" t="s">
        <v>22</v>
      </c>
      <c r="J88" s="55" t="s">
        <v>172</v>
      </c>
      <c r="K88" s="54" t="s">
        <v>174</v>
      </c>
      <c r="L88" s="56">
        <v>50000</v>
      </c>
      <c r="M88" s="61">
        <v>29257</v>
      </c>
    </row>
    <row r="89" spans="2:13" x14ac:dyDescent="0.2">
      <c r="B89" s="58"/>
      <c r="C89" s="86"/>
      <c r="D89" s="51"/>
      <c r="E89" s="528"/>
      <c r="F89" s="59"/>
      <c r="G89" s="51"/>
      <c r="H89" s="52"/>
      <c r="I89" s="54"/>
      <c r="J89" s="55"/>
      <c r="K89" s="54"/>
      <c r="L89" s="56"/>
      <c r="M89" s="61"/>
    </row>
    <row r="90" spans="2:13" x14ac:dyDescent="0.2">
      <c r="B90" s="47" t="s">
        <v>555</v>
      </c>
      <c r="C90" s="86"/>
      <c r="D90" s="49"/>
      <c r="E90" s="528"/>
      <c r="F90" s="59"/>
      <c r="G90" s="51"/>
      <c r="H90" s="52"/>
      <c r="I90" s="54"/>
      <c r="J90" s="55"/>
      <c r="K90" s="54"/>
      <c r="L90" s="56"/>
      <c r="M90" s="57">
        <f>SUM(M91:M99)</f>
        <v>549680</v>
      </c>
    </row>
    <row r="91" spans="2:13" ht="15" customHeight="1" x14ac:dyDescent="0.2">
      <c r="B91" s="443" t="s">
        <v>135</v>
      </c>
      <c r="C91" s="86">
        <f>DATE(94,1,1)</f>
        <v>34335</v>
      </c>
      <c r="D91" s="51" t="s">
        <v>134</v>
      </c>
      <c r="E91" s="528" t="s">
        <v>691</v>
      </c>
      <c r="F91" s="59" t="s">
        <v>88</v>
      </c>
      <c r="G91" s="51" t="s">
        <v>687</v>
      </c>
      <c r="H91" s="52" t="s">
        <v>55</v>
      </c>
      <c r="I91" s="54" t="s">
        <v>863</v>
      </c>
      <c r="J91" s="55" t="s">
        <v>309</v>
      </c>
      <c r="K91" s="54" t="s">
        <v>18</v>
      </c>
      <c r="L91" s="56">
        <v>1500</v>
      </c>
      <c r="M91" s="61">
        <v>1500</v>
      </c>
    </row>
    <row r="92" spans="2:13" ht="15" customHeight="1" x14ac:dyDescent="0.2">
      <c r="B92" s="58" t="s">
        <v>143</v>
      </c>
      <c r="C92" s="86">
        <f>DATE(93,3,30)</f>
        <v>34058</v>
      </c>
      <c r="D92" s="51" t="s">
        <v>139</v>
      </c>
      <c r="E92" s="528" t="s">
        <v>140</v>
      </c>
      <c r="F92" s="59" t="s">
        <v>141</v>
      </c>
      <c r="G92" s="51" t="s">
        <v>142</v>
      </c>
      <c r="H92" s="52" t="s">
        <v>55</v>
      </c>
      <c r="I92" s="54" t="s">
        <v>15</v>
      </c>
      <c r="J92" s="55" t="s">
        <v>128</v>
      </c>
      <c r="K92" s="54" t="s">
        <v>18</v>
      </c>
      <c r="L92" s="56">
        <v>68000</v>
      </c>
      <c r="M92" s="61">
        <v>68000</v>
      </c>
    </row>
    <row r="93" spans="2:13" ht="15" customHeight="1" x14ac:dyDescent="0.2">
      <c r="B93" s="58" t="s">
        <v>146</v>
      </c>
      <c r="C93" s="86">
        <f>DATE(93,4,13)</f>
        <v>34072</v>
      </c>
      <c r="D93" s="51" t="s">
        <v>144</v>
      </c>
      <c r="E93" s="528" t="s">
        <v>145</v>
      </c>
      <c r="F93" s="59" t="s">
        <v>54</v>
      </c>
      <c r="G93" s="51" t="s">
        <v>13</v>
      </c>
      <c r="H93" s="52" t="s">
        <v>116</v>
      </c>
      <c r="I93" s="54" t="s">
        <v>101</v>
      </c>
      <c r="J93" s="55" t="s">
        <v>57</v>
      </c>
      <c r="K93" s="54" t="s">
        <v>18</v>
      </c>
      <c r="L93" s="56">
        <v>250000</v>
      </c>
      <c r="M93" s="61">
        <v>250000</v>
      </c>
    </row>
    <row r="94" spans="2:13" ht="15" customHeight="1" x14ac:dyDescent="0.2">
      <c r="B94" s="58" t="s">
        <v>132</v>
      </c>
      <c r="C94" s="86">
        <f>DATE(93,5,18)</f>
        <v>34107</v>
      </c>
      <c r="D94" s="51" t="s">
        <v>130</v>
      </c>
      <c r="E94" s="528" t="s">
        <v>131</v>
      </c>
      <c r="F94" s="59" t="s">
        <v>11</v>
      </c>
      <c r="G94" s="63" t="s">
        <v>36</v>
      </c>
      <c r="H94" s="52">
        <v>0.04</v>
      </c>
      <c r="I94" s="54" t="s">
        <v>78</v>
      </c>
      <c r="J94" s="55" t="s">
        <v>57</v>
      </c>
      <c r="K94" s="54" t="s">
        <v>133</v>
      </c>
      <c r="L94" s="56">
        <v>11650</v>
      </c>
      <c r="M94" s="61">
        <v>16380</v>
      </c>
    </row>
    <row r="95" spans="2:13" ht="15" customHeight="1" x14ac:dyDescent="0.2">
      <c r="B95" s="58" t="s">
        <v>153</v>
      </c>
      <c r="C95" s="86">
        <f>DATE(93,7,30)</f>
        <v>34180</v>
      </c>
      <c r="D95" s="51" t="s">
        <v>150</v>
      </c>
      <c r="E95" s="528" t="s">
        <v>151</v>
      </c>
      <c r="F95" s="59" t="s">
        <v>88</v>
      </c>
      <c r="G95" s="51" t="s">
        <v>669</v>
      </c>
      <c r="H95" s="52" t="s">
        <v>116</v>
      </c>
      <c r="I95" s="64" t="s">
        <v>787</v>
      </c>
      <c r="J95" s="55" t="s">
        <v>152</v>
      </c>
      <c r="K95" s="54" t="s">
        <v>18</v>
      </c>
      <c r="L95" s="56">
        <v>500</v>
      </c>
      <c r="M95" s="61">
        <v>500</v>
      </c>
    </row>
    <row r="96" spans="2:13" ht="15" customHeight="1" x14ac:dyDescent="0.2">
      <c r="B96" s="58" t="s">
        <v>161</v>
      </c>
      <c r="C96" s="86">
        <f>DATE(93,9,2)</f>
        <v>34214</v>
      </c>
      <c r="D96" s="51" t="s">
        <v>158</v>
      </c>
      <c r="E96" s="528" t="s">
        <v>159</v>
      </c>
      <c r="F96" s="59" t="s">
        <v>21</v>
      </c>
      <c r="G96" s="51" t="s">
        <v>81</v>
      </c>
      <c r="H96" s="52" t="s">
        <v>116</v>
      </c>
      <c r="I96" s="64" t="s">
        <v>787</v>
      </c>
      <c r="J96" s="55" t="s">
        <v>309</v>
      </c>
      <c r="K96" s="54" t="s">
        <v>18</v>
      </c>
      <c r="L96" s="56">
        <v>1500</v>
      </c>
      <c r="M96" s="61">
        <v>1500</v>
      </c>
    </row>
    <row r="97" spans="2:13" ht="15" customHeight="1" x14ac:dyDescent="0.2">
      <c r="B97" s="58" t="s">
        <v>157</v>
      </c>
      <c r="C97" s="86">
        <f>DATE(93,11,9)</f>
        <v>34282</v>
      </c>
      <c r="D97" s="51" t="s">
        <v>154</v>
      </c>
      <c r="E97" s="528" t="s">
        <v>155</v>
      </c>
      <c r="F97" s="59" t="s">
        <v>64</v>
      </c>
      <c r="G97" s="51" t="s">
        <v>156</v>
      </c>
      <c r="H97" s="52" t="s">
        <v>116</v>
      </c>
      <c r="I97" s="54" t="s">
        <v>101</v>
      </c>
      <c r="J97" s="55" t="s">
        <v>57</v>
      </c>
      <c r="K97" s="54" t="s">
        <v>18</v>
      </c>
      <c r="L97" s="56">
        <v>11800</v>
      </c>
      <c r="M97" s="61">
        <v>11800</v>
      </c>
    </row>
    <row r="98" spans="2:13" ht="15" customHeight="1" x14ac:dyDescent="0.2">
      <c r="B98" s="58" t="s">
        <v>180</v>
      </c>
      <c r="C98" s="86">
        <f>DATE(93,12,21)</f>
        <v>34324</v>
      </c>
      <c r="D98" s="51" t="s">
        <v>177</v>
      </c>
      <c r="E98" s="528" t="s">
        <v>178</v>
      </c>
      <c r="F98" s="59" t="s">
        <v>679</v>
      </c>
      <c r="G98" s="51" t="s">
        <v>178</v>
      </c>
      <c r="H98" s="52" t="s">
        <v>55</v>
      </c>
      <c r="I98" s="54" t="s">
        <v>45</v>
      </c>
      <c r="J98" s="55" t="s">
        <v>128</v>
      </c>
      <c r="K98" s="54" t="s">
        <v>18</v>
      </c>
      <c r="L98" s="56">
        <v>100000</v>
      </c>
      <c r="M98" s="61">
        <v>100000</v>
      </c>
    </row>
    <row r="99" spans="2:13" ht="15" customHeight="1" x14ac:dyDescent="0.2">
      <c r="B99" s="58" t="s">
        <v>182</v>
      </c>
      <c r="C99" s="86">
        <f>DATE(93,12,19)</f>
        <v>34322</v>
      </c>
      <c r="D99" s="51" t="s">
        <v>181</v>
      </c>
      <c r="E99" s="528" t="s">
        <v>178</v>
      </c>
      <c r="F99" s="59" t="s">
        <v>679</v>
      </c>
      <c r="G99" s="51" t="s">
        <v>178</v>
      </c>
      <c r="H99" s="52" t="s">
        <v>116</v>
      </c>
      <c r="I99" s="54" t="s">
        <v>45</v>
      </c>
      <c r="J99" s="55" t="s">
        <v>179</v>
      </c>
      <c r="K99" s="54" t="s">
        <v>18</v>
      </c>
      <c r="L99" s="56">
        <v>100000</v>
      </c>
      <c r="M99" s="61">
        <v>100000</v>
      </c>
    </row>
    <row r="100" spans="2:13" x14ac:dyDescent="0.2">
      <c r="B100" s="67"/>
      <c r="C100" s="86"/>
      <c r="D100" s="51"/>
      <c r="E100" s="528"/>
      <c r="F100" s="59"/>
      <c r="G100" s="51"/>
      <c r="H100" s="52"/>
      <c r="I100" s="54"/>
      <c r="J100" s="55"/>
      <c r="K100" s="54"/>
      <c r="L100" s="56"/>
      <c r="M100" s="61"/>
    </row>
    <row r="101" spans="2:13" x14ac:dyDescent="0.2">
      <c r="B101" s="47" t="s">
        <v>702</v>
      </c>
      <c r="C101" s="86"/>
      <c r="D101" s="49"/>
      <c r="E101" s="528"/>
      <c r="F101" s="59"/>
      <c r="G101" s="51"/>
      <c r="H101" s="52"/>
      <c r="I101" s="54"/>
      <c r="J101" s="55"/>
      <c r="K101" s="54"/>
      <c r="L101" s="56"/>
      <c r="M101" s="57">
        <f>SUM(M102:M103)</f>
        <v>19417</v>
      </c>
    </row>
    <row r="102" spans="2:13" ht="15" customHeight="1" x14ac:dyDescent="0.2">
      <c r="B102" s="58" t="s">
        <v>149</v>
      </c>
      <c r="C102" s="86">
        <v>34298</v>
      </c>
      <c r="D102" s="51" t="s">
        <v>147</v>
      </c>
      <c r="E102" s="528" t="s">
        <v>25</v>
      </c>
      <c r="F102" s="59" t="s">
        <v>26</v>
      </c>
      <c r="G102" s="51" t="s">
        <v>27</v>
      </c>
      <c r="H102" s="52">
        <v>7.0000000000000007E-2</v>
      </c>
      <c r="I102" s="54" t="s">
        <v>148</v>
      </c>
      <c r="J102" s="55" t="s">
        <v>46</v>
      </c>
      <c r="K102" s="54" t="s">
        <v>18</v>
      </c>
      <c r="L102" s="56">
        <v>9346</v>
      </c>
      <c r="M102" s="61">
        <v>9346</v>
      </c>
    </row>
    <row r="103" spans="2:13" ht="15" customHeight="1" thickBot="1" x14ac:dyDescent="0.25">
      <c r="B103" s="448" t="s">
        <v>170</v>
      </c>
      <c r="C103" s="87">
        <f>DATE(93,12,2)</f>
        <v>34305</v>
      </c>
      <c r="D103" s="70" t="s">
        <v>167</v>
      </c>
      <c r="E103" s="536" t="s">
        <v>168</v>
      </c>
      <c r="F103" s="618" t="s">
        <v>64</v>
      </c>
      <c r="G103" s="71" t="s">
        <v>223</v>
      </c>
      <c r="H103" s="72">
        <v>0.05</v>
      </c>
      <c r="I103" s="73" t="s">
        <v>121</v>
      </c>
      <c r="J103" s="74" t="s">
        <v>169</v>
      </c>
      <c r="K103" s="73" t="s">
        <v>18</v>
      </c>
      <c r="L103" s="75">
        <v>10071</v>
      </c>
      <c r="M103" s="76">
        <v>10071</v>
      </c>
    </row>
    <row r="104" spans="2:13" ht="15" customHeight="1" thickTop="1" x14ac:dyDescent="0.2">
      <c r="B104" s="467"/>
      <c r="C104" s="459"/>
      <c r="D104" s="460"/>
      <c r="E104" s="537"/>
      <c r="F104" s="619"/>
      <c r="G104" s="461"/>
      <c r="H104" s="462"/>
      <c r="I104" s="463"/>
      <c r="J104" s="464"/>
      <c r="K104" s="463"/>
      <c r="L104" s="465"/>
      <c r="M104" s="466"/>
    </row>
    <row r="105" spans="2:13" s="46" customFormat="1" ht="18" x14ac:dyDescent="0.2">
      <c r="B105" s="36">
        <v>1994</v>
      </c>
      <c r="C105" s="37"/>
      <c r="D105" s="38"/>
      <c r="E105" s="527"/>
      <c r="F105" s="617"/>
      <c r="G105" s="39"/>
      <c r="H105" s="40"/>
      <c r="I105" s="42"/>
      <c r="J105" s="43"/>
      <c r="K105" s="42"/>
      <c r="L105" s="44"/>
      <c r="M105" s="45">
        <f>+M106+M112+M129+M134</f>
        <v>1343027</v>
      </c>
    </row>
    <row r="106" spans="2:13" s="46" customFormat="1" x14ac:dyDescent="0.2">
      <c r="B106" s="47" t="s">
        <v>701</v>
      </c>
      <c r="C106" s="37"/>
      <c r="D106" s="38"/>
      <c r="E106" s="527"/>
      <c r="F106" s="617"/>
      <c r="G106" s="39"/>
      <c r="H106" s="40"/>
      <c r="I106" s="42"/>
      <c r="J106" s="43"/>
      <c r="K106" s="42"/>
      <c r="L106" s="44"/>
      <c r="M106" s="57">
        <f>SUM(M107:M110)</f>
        <v>80231</v>
      </c>
    </row>
    <row r="107" spans="2:13" s="46" customFormat="1" ht="15" customHeight="1" x14ac:dyDescent="0.2">
      <c r="B107" s="58" t="s">
        <v>647</v>
      </c>
      <c r="C107" s="78">
        <f>DATE(95,2,21)</f>
        <v>34751</v>
      </c>
      <c r="D107" s="51" t="s">
        <v>162</v>
      </c>
      <c r="E107" s="528" t="s">
        <v>692</v>
      </c>
      <c r="F107" s="59" t="s">
        <v>64</v>
      </c>
      <c r="G107" s="51" t="s">
        <v>193</v>
      </c>
      <c r="H107" s="52" t="s">
        <v>162</v>
      </c>
      <c r="I107" s="54" t="s">
        <v>233</v>
      </c>
      <c r="J107" s="55" t="s">
        <v>234</v>
      </c>
      <c r="K107" s="54" t="s">
        <v>18</v>
      </c>
      <c r="L107" s="56">
        <v>22500</v>
      </c>
      <c r="M107" s="61">
        <v>22500</v>
      </c>
    </row>
    <row r="108" spans="2:13" ht="15" customHeight="1" x14ac:dyDescent="0.2">
      <c r="B108" s="58" t="s">
        <v>190</v>
      </c>
      <c r="C108" s="78">
        <f>DATE(94,3,29)</f>
        <v>34422</v>
      </c>
      <c r="D108" s="51" t="s">
        <v>70</v>
      </c>
      <c r="E108" s="528" t="s">
        <v>140</v>
      </c>
      <c r="F108" s="59" t="s">
        <v>141</v>
      </c>
      <c r="G108" s="51" t="s">
        <v>142</v>
      </c>
      <c r="H108" s="52">
        <v>0.03</v>
      </c>
      <c r="I108" s="54" t="s">
        <v>37</v>
      </c>
      <c r="J108" s="55" t="s">
        <v>128</v>
      </c>
      <c r="K108" s="54" t="s">
        <v>74</v>
      </c>
      <c r="L108" s="56">
        <v>2240000</v>
      </c>
      <c r="M108" s="61">
        <v>21380</v>
      </c>
    </row>
    <row r="109" spans="2:13" ht="15" customHeight="1" x14ac:dyDescent="0.2">
      <c r="B109" s="58" t="s">
        <v>639</v>
      </c>
      <c r="C109" s="78">
        <f>DATE(94,12,7)</f>
        <v>34675</v>
      </c>
      <c r="D109" s="51" t="s">
        <v>327</v>
      </c>
      <c r="E109" s="538" t="s">
        <v>1758</v>
      </c>
      <c r="F109" s="59" t="s">
        <v>88</v>
      </c>
      <c r="G109" s="51" t="s">
        <v>213</v>
      </c>
      <c r="H109" s="52">
        <v>0.03</v>
      </c>
      <c r="I109" s="54" t="s">
        <v>37</v>
      </c>
      <c r="J109" s="55" t="s">
        <v>128</v>
      </c>
      <c r="K109" s="54" t="s">
        <v>174</v>
      </c>
      <c r="L109" s="56">
        <v>34147</v>
      </c>
      <c r="M109" s="61">
        <v>21730</v>
      </c>
    </row>
    <row r="110" spans="2:13" ht="15" customHeight="1" x14ac:dyDescent="0.2">
      <c r="B110" s="58" t="s">
        <v>644</v>
      </c>
      <c r="C110" s="78">
        <v>34698</v>
      </c>
      <c r="D110" s="51" t="s">
        <v>218</v>
      </c>
      <c r="E110" s="528" t="s">
        <v>25</v>
      </c>
      <c r="F110" s="59" t="s">
        <v>26</v>
      </c>
      <c r="G110" s="51" t="s">
        <v>27</v>
      </c>
      <c r="H110" s="52" t="s">
        <v>837</v>
      </c>
      <c r="I110" s="54" t="s">
        <v>160</v>
      </c>
      <c r="J110" s="55" t="s">
        <v>219</v>
      </c>
      <c r="K110" s="54" t="s">
        <v>18</v>
      </c>
      <c r="L110" s="56">
        <v>14621</v>
      </c>
      <c r="M110" s="61">
        <v>14621</v>
      </c>
    </row>
    <row r="111" spans="2:13" x14ac:dyDescent="0.2">
      <c r="B111" s="58"/>
      <c r="C111" s="78"/>
      <c r="D111" s="51"/>
      <c r="E111" s="528"/>
      <c r="F111" s="59"/>
      <c r="G111" s="51"/>
      <c r="H111" s="52"/>
      <c r="I111" s="54"/>
      <c r="J111" s="55"/>
      <c r="K111" s="54"/>
      <c r="L111" s="56"/>
      <c r="M111" s="61"/>
    </row>
    <row r="112" spans="2:13" x14ac:dyDescent="0.2">
      <c r="B112" s="47" t="s">
        <v>555</v>
      </c>
      <c r="C112" s="78"/>
      <c r="D112" s="51"/>
      <c r="E112" s="528"/>
      <c r="F112" s="59"/>
      <c r="G112" s="51"/>
      <c r="H112" s="52"/>
      <c r="I112" s="54"/>
      <c r="J112" s="55"/>
      <c r="K112" s="54"/>
      <c r="L112" s="56"/>
      <c r="M112" s="57">
        <f>SUM(M113:M127)</f>
        <v>1179500</v>
      </c>
    </row>
    <row r="113" spans="2:13" ht="15" customHeight="1" x14ac:dyDescent="0.2">
      <c r="B113" s="58" t="s">
        <v>186</v>
      </c>
      <c r="C113" s="78">
        <f>DATE(94,3,11)</f>
        <v>34404</v>
      </c>
      <c r="D113" s="51" t="s">
        <v>183</v>
      </c>
      <c r="E113" s="528" t="s">
        <v>184</v>
      </c>
      <c r="F113" s="59" t="s">
        <v>141</v>
      </c>
      <c r="G113" s="51" t="s">
        <v>142</v>
      </c>
      <c r="H113" s="52" t="s">
        <v>116</v>
      </c>
      <c r="I113" s="54" t="s">
        <v>45</v>
      </c>
      <c r="J113" s="55" t="s">
        <v>185</v>
      </c>
      <c r="K113" s="54" t="s">
        <v>18</v>
      </c>
      <c r="L113" s="56">
        <v>34000</v>
      </c>
      <c r="M113" s="61">
        <v>34000</v>
      </c>
    </row>
    <row r="114" spans="2:13" ht="15" customHeight="1" x14ac:dyDescent="0.2">
      <c r="B114" s="58" t="s">
        <v>194</v>
      </c>
      <c r="C114" s="78">
        <f>DATE(94,4,9)</f>
        <v>34433</v>
      </c>
      <c r="D114" s="51" t="s">
        <v>191</v>
      </c>
      <c r="E114" s="528" t="s">
        <v>192</v>
      </c>
      <c r="F114" s="59" t="s">
        <v>64</v>
      </c>
      <c r="G114" s="51" t="s">
        <v>193</v>
      </c>
      <c r="H114" s="52" t="s">
        <v>55</v>
      </c>
      <c r="I114" s="54" t="s">
        <v>15</v>
      </c>
      <c r="J114" s="55" t="s">
        <v>185</v>
      </c>
      <c r="K114" s="54" t="s">
        <v>18</v>
      </c>
      <c r="L114" s="56">
        <v>45000</v>
      </c>
      <c r="M114" s="61">
        <v>45000</v>
      </c>
    </row>
    <row r="115" spans="2:13" ht="15" customHeight="1" x14ac:dyDescent="0.2">
      <c r="B115" s="58" t="s">
        <v>189</v>
      </c>
      <c r="C115" s="78">
        <f>DATE(94,5,24)</f>
        <v>34478</v>
      </c>
      <c r="D115" s="51" t="s">
        <v>187</v>
      </c>
      <c r="E115" s="528" t="s">
        <v>188</v>
      </c>
      <c r="F115" s="59" t="s">
        <v>21</v>
      </c>
      <c r="G115" s="51" t="s">
        <v>81</v>
      </c>
      <c r="H115" s="52" t="s">
        <v>116</v>
      </c>
      <c r="I115" s="54" t="s">
        <v>45</v>
      </c>
      <c r="J115" s="55" t="s">
        <v>185</v>
      </c>
      <c r="K115" s="54" t="s">
        <v>18</v>
      </c>
      <c r="L115" s="56">
        <v>150000</v>
      </c>
      <c r="M115" s="61">
        <v>150000</v>
      </c>
    </row>
    <row r="116" spans="2:13" ht="15" customHeight="1" x14ac:dyDescent="0.2">
      <c r="B116" s="58" t="s">
        <v>197</v>
      </c>
      <c r="C116" s="78">
        <f>DATE(94,5,24)</f>
        <v>34478</v>
      </c>
      <c r="D116" s="51" t="s">
        <v>62</v>
      </c>
      <c r="E116" s="528" t="s">
        <v>195</v>
      </c>
      <c r="F116" s="59" t="s">
        <v>21</v>
      </c>
      <c r="G116" s="51" t="s">
        <v>81</v>
      </c>
      <c r="H116" s="52" t="s">
        <v>196</v>
      </c>
      <c r="I116" s="54" t="s">
        <v>100</v>
      </c>
      <c r="J116" s="55" t="s">
        <v>82</v>
      </c>
      <c r="K116" s="54" t="s">
        <v>18</v>
      </c>
      <c r="L116" s="56">
        <v>1000</v>
      </c>
      <c r="M116" s="61">
        <v>1000</v>
      </c>
    </row>
    <row r="117" spans="2:13" ht="15" customHeight="1" x14ac:dyDescent="0.2">
      <c r="B117" s="58" t="s">
        <v>202</v>
      </c>
      <c r="C117" s="78">
        <f>DATE(94,6,22)</f>
        <v>34507</v>
      </c>
      <c r="D117" s="51" t="s">
        <v>62</v>
      </c>
      <c r="E117" s="528" t="s">
        <v>68</v>
      </c>
      <c r="F117" s="59" t="s">
        <v>54</v>
      </c>
      <c r="G117" s="51" t="s">
        <v>69</v>
      </c>
      <c r="H117" s="52" t="s">
        <v>196</v>
      </c>
      <c r="I117" s="54" t="s">
        <v>201</v>
      </c>
      <c r="J117" s="55" t="s">
        <v>101</v>
      </c>
      <c r="K117" s="54" t="s">
        <v>18</v>
      </c>
      <c r="L117" s="56">
        <v>90000</v>
      </c>
      <c r="M117" s="61">
        <v>90000</v>
      </c>
    </row>
    <row r="118" spans="2:13" ht="15" customHeight="1" x14ac:dyDescent="0.2">
      <c r="B118" s="58" t="s">
        <v>204</v>
      </c>
      <c r="C118" s="78">
        <f>DATE(94,6,22)</f>
        <v>34507</v>
      </c>
      <c r="D118" s="51" t="s">
        <v>62</v>
      </c>
      <c r="E118" s="528" t="s">
        <v>203</v>
      </c>
      <c r="F118" s="59" t="s">
        <v>54</v>
      </c>
      <c r="G118" s="51" t="s">
        <v>69</v>
      </c>
      <c r="H118" s="52" t="s">
        <v>196</v>
      </c>
      <c r="I118" s="54" t="s">
        <v>82</v>
      </c>
      <c r="J118" s="55" t="s">
        <v>78</v>
      </c>
      <c r="K118" s="54" t="s">
        <v>18</v>
      </c>
      <c r="L118" s="56">
        <v>25000</v>
      </c>
      <c r="M118" s="61">
        <v>25000</v>
      </c>
    </row>
    <row r="119" spans="2:13" ht="15" customHeight="1" x14ac:dyDescent="0.2">
      <c r="B119" s="58" t="s">
        <v>636</v>
      </c>
      <c r="C119" s="78">
        <f>DATE(94,9,21)</f>
        <v>34598</v>
      </c>
      <c r="D119" s="51" t="s">
        <v>62</v>
      </c>
      <c r="E119" s="528" t="s">
        <v>205</v>
      </c>
      <c r="F119" s="59" t="s">
        <v>21</v>
      </c>
      <c r="G119" s="51" t="s">
        <v>81</v>
      </c>
      <c r="H119" s="52" t="s">
        <v>196</v>
      </c>
      <c r="I119" s="54" t="s">
        <v>201</v>
      </c>
      <c r="J119" s="55" t="s">
        <v>206</v>
      </c>
      <c r="K119" s="54" t="s">
        <v>18</v>
      </c>
      <c r="L119" s="56">
        <v>50000</v>
      </c>
      <c r="M119" s="61">
        <v>50000</v>
      </c>
    </row>
    <row r="120" spans="2:13" ht="15" customHeight="1" x14ac:dyDescent="0.2">
      <c r="B120" s="88" t="s">
        <v>678</v>
      </c>
      <c r="C120" s="89">
        <v>34656</v>
      </c>
      <c r="D120" s="51" t="s">
        <v>97</v>
      </c>
      <c r="E120" s="528" t="s">
        <v>565</v>
      </c>
      <c r="F120" s="620" t="s">
        <v>384</v>
      </c>
      <c r="G120" s="51" t="s">
        <v>223</v>
      </c>
      <c r="H120" s="52" t="s">
        <v>196</v>
      </c>
      <c r="I120" s="54" t="s">
        <v>408</v>
      </c>
      <c r="J120" s="55" t="s">
        <v>443</v>
      </c>
      <c r="K120" s="54" t="s">
        <v>18</v>
      </c>
      <c r="L120" s="56">
        <v>76000</v>
      </c>
      <c r="M120" s="61">
        <v>76000</v>
      </c>
    </row>
    <row r="121" spans="2:13" ht="15" customHeight="1" x14ac:dyDescent="0.2">
      <c r="B121" s="58" t="s">
        <v>638</v>
      </c>
      <c r="C121" s="78">
        <f>DATE(94,11,22)</f>
        <v>34660</v>
      </c>
      <c r="D121" s="51" t="s">
        <v>208</v>
      </c>
      <c r="E121" s="528" t="s">
        <v>209</v>
      </c>
      <c r="F121" s="59" t="s">
        <v>54</v>
      </c>
      <c r="G121" s="51" t="s">
        <v>13</v>
      </c>
      <c r="H121" s="52" t="s">
        <v>116</v>
      </c>
      <c r="I121" s="54" t="s">
        <v>15</v>
      </c>
      <c r="J121" s="55" t="s">
        <v>57</v>
      </c>
      <c r="K121" s="54" t="s">
        <v>18</v>
      </c>
      <c r="L121" s="56">
        <v>150000</v>
      </c>
      <c r="M121" s="61">
        <v>150000</v>
      </c>
    </row>
    <row r="122" spans="2:13" ht="15" customHeight="1" x14ac:dyDescent="0.2">
      <c r="B122" s="58" t="s">
        <v>637</v>
      </c>
      <c r="C122" s="78">
        <f>DATE(94,11,22)</f>
        <v>34660</v>
      </c>
      <c r="D122" s="51" t="s">
        <v>214</v>
      </c>
      <c r="E122" s="528" t="s">
        <v>215</v>
      </c>
      <c r="F122" s="59" t="s">
        <v>54</v>
      </c>
      <c r="G122" s="51" t="s">
        <v>693</v>
      </c>
      <c r="H122" s="52" t="s">
        <v>55</v>
      </c>
      <c r="I122" s="54" t="s">
        <v>216</v>
      </c>
      <c r="J122" s="55" t="s">
        <v>217</v>
      </c>
      <c r="K122" s="54" t="s">
        <v>18</v>
      </c>
      <c r="L122" s="56">
        <v>1500</v>
      </c>
      <c r="M122" s="61">
        <v>1500</v>
      </c>
    </row>
    <row r="123" spans="2:13" ht="15" customHeight="1" x14ac:dyDescent="0.2">
      <c r="B123" s="58" t="s">
        <v>640</v>
      </c>
      <c r="C123" s="78">
        <f>DATE(94,12,9)</f>
        <v>34677</v>
      </c>
      <c r="D123" s="51" t="s">
        <v>210</v>
      </c>
      <c r="E123" s="530" t="s">
        <v>677</v>
      </c>
      <c r="F123" s="59" t="s">
        <v>21</v>
      </c>
      <c r="G123" s="51" t="s">
        <v>81</v>
      </c>
      <c r="H123" s="52" t="s">
        <v>55</v>
      </c>
      <c r="I123" s="54" t="s">
        <v>78</v>
      </c>
      <c r="J123" s="55" t="s">
        <v>185</v>
      </c>
      <c r="K123" s="54" t="s">
        <v>18</v>
      </c>
      <c r="L123" s="56">
        <v>252000</v>
      </c>
      <c r="M123" s="61">
        <v>252000</v>
      </c>
    </row>
    <row r="124" spans="2:13" ht="15" customHeight="1" x14ac:dyDescent="0.2">
      <c r="B124" s="58" t="s">
        <v>641</v>
      </c>
      <c r="C124" s="78">
        <f>DATE(94,12,9)</f>
        <v>34677</v>
      </c>
      <c r="D124" s="51" t="s">
        <v>211</v>
      </c>
      <c r="E124" s="528" t="s">
        <v>212</v>
      </c>
      <c r="F124" s="59" t="s">
        <v>88</v>
      </c>
      <c r="G124" s="51" t="s">
        <v>688</v>
      </c>
      <c r="H124" s="52" t="s">
        <v>55</v>
      </c>
      <c r="I124" s="54" t="s">
        <v>78</v>
      </c>
      <c r="J124" s="55" t="s">
        <v>128</v>
      </c>
      <c r="K124" s="54" t="s">
        <v>18</v>
      </c>
      <c r="L124" s="56">
        <v>140000</v>
      </c>
      <c r="M124" s="61">
        <v>140000</v>
      </c>
    </row>
    <row r="125" spans="2:13" ht="15" customHeight="1" x14ac:dyDescent="0.2">
      <c r="B125" s="58" t="s">
        <v>643</v>
      </c>
      <c r="C125" s="78">
        <f>DATE(94,12,28)</f>
        <v>34696</v>
      </c>
      <c r="D125" s="51" t="s">
        <v>224</v>
      </c>
      <c r="E125" s="528" t="s">
        <v>225</v>
      </c>
      <c r="F125" s="59" t="s">
        <v>21</v>
      </c>
      <c r="G125" s="51" t="s">
        <v>81</v>
      </c>
      <c r="H125" s="52">
        <v>3.7499999999999999E-2</v>
      </c>
      <c r="I125" s="54" t="s">
        <v>45</v>
      </c>
      <c r="J125" s="55" t="s">
        <v>226</v>
      </c>
      <c r="K125" s="54" t="s">
        <v>18</v>
      </c>
      <c r="L125" s="56">
        <v>5000</v>
      </c>
      <c r="M125" s="61">
        <v>5000</v>
      </c>
    </row>
    <row r="126" spans="2:13" ht="15" customHeight="1" x14ac:dyDescent="0.2">
      <c r="B126" s="58" t="s">
        <v>642</v>
      </c>
      <c r="C126" s="78">
        <f>DATE(94,12,28)</f>
        <v>34696</v>
      </c>
      <c r="D126" s="51" t="s">
        <v>227</v>
      </c>
      <c r="E126" s="530" t="s">
        <v>228</v>
      </c>
      <c r="F126" s="620" t="s">
        <v>88</v>
      </c>
      <c r="G126" s="63" t="s">
        <v>89</v>
      </c>
      <c r="H126" s="52" t="s">
        <v>116</v>
      </c>
      <c r="I126" s="54" t="s">
        <v>15</v>
      </c>
      <c r="J126" s="55" t="s">
        <v>185</v>
      </c>
      <c r="K126" s="54" t="s">
        <v>18</v>
      </c>
      <c r="L126" s="56">
        <v>150000</v>
      </c>
      <c r="M126" s="61">
        <v>150000</v>
      </c>
    </row>
    <row r="127" spans="2:13" ht="15" customHeight="1" x14ac:dyDescent="0.2">
      <c r="B127" s="58" t="s">
        <v>646</v>
      </c>
      <c r="C127" s="78">
        <f>DATE(94,12,31)</f>
        <v>34699</v>
      </c>
      <c r="D127" s="51" t="s">
        <v>62</v>
      </c>
      <c r="E127" s="528" t="s">
        <v>229</v>
      </c>
      <c r="F127" s="59" t="s">
        <v>64</v>
      </c>
      <c r="G127" s="51" t="s">
        <v>230</v>
      </c>
      <c r="H127" s="52" t="s">
        <v>231</v>
      </c>
      <c r="I127" s="54" t="s">
        <v>232</v>
      </c>
      <c r="J127" s="55" t="s">
        <v>72</v>
      </c>
      <c r="K127" s="54" t="s">
        <v>18</v>
      </c>
      <c r="L127" s="56">
        <v>10000</v>
      </c>
      <c r="M127" s="61">
        <v>10000</v>
      </c>
    </row>
    <row r="128" spans="2:13" x14ac:dyDescent="0.2">
      <c r="B128" s="58"/>
      <c r="C128" s="78"/>
      <c r="D128" s="51"/>
      <c r="E128" s="528"/>
      <c r="F128" s="59"/>
      <c r="G128" s="51"/>
      <c r="H128" s="52"/>
      <c r="I128" s="54"/>
      <c r="J128" s="55"/>
      <c r="K128" s="54"/>
      <c r="L128" s="56"/>
      <c r="M128" s="61"/>
    </row>
    <row r="129" spans="2:13" x14ac:dyDescent="0.2">
      <c r="B129" s="47" t="s">
        <v>702</v>
      </c>
      <c r="C129" s="78"/>
      <c r="D129" s="51"/>
      <c r="E129" s="528"/>
      <c r="F129" s="59"/>
      <c r="G129" s="51"/>
      <c r="H129" s="52"/>
      <c r="I129" s="54"/>
      <c r="J129" s="55"/>
      <c r="K129" s="54"/>
      <c r="L129" s="56"/>
      <c r="M129" s="57">
        <f>SUM(M130:M132)</f>
        <v>67008</v>
      </c>
    </row>
    <row r="130" spans="2:13" ht="15" customHeight="1" x14ac:dyDescent="0.2">
      <c r="B130" s="443" t="s">
        <v>634</v>
      </c>
      <c r="C130" s="78">
        <f>DATE(94,7,9)</f>
        <v>34524</v>
      </c>
      <c r="D130" s="51" t="s">
        <v>198</v>
      </c>
      <c r="E130" s="539" t="s">
        <v>199</v>
      </c>
      <c r="F130" s="621" t="s">
        <v>384</v>
      </c>
      <c r="G130" s="51" t="s">
        <v>200</v>
      </c>
      <c r="H130" s="52">
        <v>5.9499999999999997E-2</v>
      </c>
      <c r="I130" s="54" t="s">
        <v>160</v>
      </c>
      <c r="J130" s="55" t="s">
        <v>56</v>
      </c>
      <c r="K130" s="54" t="s">
        <v>18</v>
      </c>
      <c r="L130" s="56">
        <v>8697</v>
      </c>
      <c r="M130" s="61">
        <v>8697</v>
      </c>
    </row>
    <row r="131" spans="2:13" ht="15" customHeight="1" x14ac:dyDescent="0.2">
      <c r="B131" s="443" t="s">
        <v>635</v>
      </c>
      <c r="C131" s="78">
        <f>DATE(94,7,9)</f>
        <v>34524</v>
      </c>
      <c r="D131" s="51" t="s">
        <v>198</v>
      </c>
      <c r="E131" s="539" t="s">
        <v>199</v>
      </c>
      <c r="F131" s="621" t="s">
        <v>11</v>
      </c>
      <c r="G131" s="51" t="s">
        <v>36</v>
      </c>
      <c r="H131" s="52">
        <v>5.9499999999999997E-2</v>
      </c>
      <c r="I131" s="54" t="s">
        <v>160</v>
      </c>
      <c r="J131" s="55" t="s">
        <v>56</v>
      </c>
      <c r="K131" s="54" t="s">
        <v>18</v>
      </c>
      <c r="L131" s="56">
        <v>29552</v>
      </c>
      <c r="M131" s="61">
        <v>29552</v>
      </c>
    </row>
    <row r="132" spans="2:13" ht="15" customHeight="1" x14ac:dyDescent="0.2">
      <c r="B132" s="450" t="s">
        <v>663</v>
      </c>
      <c r="C132" s="78">
        <v>34612</v>
      </c>
      <c r="D132" s="51" t="s">
        <v>207</v>
      </c>
      <c r="E132" s="528" t="s">
        <v>25</v>
      </c>
      <c r="F132" s="59" t="s">
        <v>26</v>
      </c>
      <c r="G132" s="51" t="s">
        <v>27</v>
      </c>
      <c r="H132" s="52">
        <v>7.0000000000000007E-2</v>
      </c>
      <c r="I132" s="54" t="s">
        <v>148</v>
      </c>
      <c r="J132" s="55" t="s">
        <v>61</v>
      </c>
      <c r="K132" s="54" t="s">
        <v>18</v>
      </c>
      <c r="L132" s="56">
        <v>28759</v>
      </c>
      <c r="M132" s="61">
        <v>28759</v>
      </c>
    </row>
    <row r="133" spans="2:13" x14ac:dyDescent="0.2">
      <c r="B133" s="67"/>
      <c r="C133" s="78"/>
      <c r="D133" s="51"/>
      <c r="E133" s="539"/>
      <c r="F133" s="621"/>
      <c r="G133" s="51"/>
      <c r="H133" s="52"/>
      <c r="I133" s="54"/>
      <c r="J133" s="55"/>
      <c r="K133" s="54"/>
      <c r="L133" s="56"/>
      <c r="M133" s="61"/>
    </row>
    <row r="134" spans="2:13" x14ac:dyDescent="0.2">
      <c r="B134" s="47" t="s">
        <v>221</v>
      </c>
      <c r="C134" s="78"/>
      <c r="D134" s="51"/>
      <c r="E134" s="539"/>
      <c r="F134" s="621"/>
      <c r="G134" s="51"/>
      <c r="H134" s="52"/>
      <c r="I134" s="54"/>
      <c r="J134" s="55"/>
      <c r="K134" s="54"/>
      <c r="L134" s="56"/>
      <c r="M134" s="57">
        <f>SUM(M135:M137)</f>
        <v>16288</v>
      </c>
    </row>
    <row r="135" spans="2:13" ht="15" customHeight="1" x14ac:dyDescent="0.2">
      <c r="B135" s="58" t="s">
        <v>839</v>
      </c>
      <c r="C135" s="78">
        <v>34698</v>
      </c>
      <c r="D135" s="51" t="s">
        <v>220</v>
      </c>
      <c r="E135" s="528" t="s">
        <v>25</v>
      </c>
      <c r="F135" s="59" t="s">
        <v>26</v>
      </c>
      <c r="G135" s="51" t="s">
        <v>27</v>
      </c>
      <c r="H135" s="52" t="s">
        <v>838</v>
      </c>
      <c r="I135" s="54" t="s">
        <v>121</v>
      </c>
      <c r="J135" s="55" t="s">
        <v>15</v>
      </c>
      <c r="K135" s="54" t="s">
        <v>18</v>
      </c>
      <c r="L135" s="56">
        <v>8083</v>
      </c>
      <c r="M135" s="61">
        <v>8083</v>
      </c>
    </row>
    <row r="136" spans="2:13" ht="15" customHeight="1" x14ac:dyDescent="0.2">
      <c r="B136" s="58" t="s">
        <v>840</v>
      </c>
      <c r="C136" s="78">
        <v>34698</v>
      </c>
      <c r="D136" s="51" t="s">
        <v>222</v>
      </c>
      <c r="E136" s="528" t="s">
        <v>822</v>
      </c>
      <c r="F136" s="59" t="s">
        <v>26</v>
      </c>
      <c r="G136" s="51" t="s">
        <v>27</v>
      </c>
      <c r="H136" s="52">
        <v>7.0000000000000007E-2</v>
      </c>
      <c r="I136" s="54" t="s">
        <v>121</v>
      </c>
      <c r="J136" s="55" t="s">
        <v>15</v>
      </c>
      <c r="K136" s="54" t="s">
        <v>18</v>
      </c>
      <c r="L136" s="56">
        <v>948</v>
      </c>
      <c r="M136" s="61">
        <v>948</v>
      </c>
    </row>
    <row r="137" spans="2:13" ht="15" customHeight="1" thickBot="1" x14ac:dyDescent="0.25">
      <c r="B137" s="81" t="s">
        <v>645</v>
      </c>
      <c r="C137" s="82">
        <v>34698</v>
      </c>
      <c r="D137" s="70" t="s">
        <v>222</v>
      </c>
      <c r="E137" s="533" t="s">
        <v>25</v>
      </c>
      <c r="F137" s="618" t="s">
        <v>26</v>
      </c>
      <c r="G137" s="70" t="s">
        <v>27</v>
      </c>
      <c r="H137" s="72">
        <v>7.0000000000000007E-2</v>
      </c>
      <c r="I137" s="73" t="s">
        <v>121</v>
      </c>
      <c r="J137" s="74" t="s">
        <v>15</v>
      </c>
      <c r="K137" s="73" t="s">
        <v>18</v>
      </c>
      <c r="L137" s="75">
        <v>7257</v>
      </c>
      <c r="M137" s="76">
        <v>7257</v>
      </c>
    </row>
    <row r="138" spans="2:13" ht="15" customHeight="1" thickTop="1" x14ac:dyDescent="0.2">
      <c r="B138" s="474"/>
      <c r="C138" s="459"/>
      <c r="D138" s="460"/>
      <c r="E138" s="534"/>
      <c r="F138" s="619"/>
      <c r="G138" s="460"/>
      <c r="H138" s="462"/>
      <c r="I138" s="463"/>
      <c r="J138" s="464"/>
      <c r="K138" s="463"/>
      <c r="L138" s="465"/>
      <c r="M138" s="466"/>
    </row>
    <row r="139" spans="2:13" s="46" customFormat="1" ht="18" x14ac:dyDescent="0.2">
      <c r="B139" s="90">
        <v>1995</v>
      </c>
      <c r="C139" s="472"/>
      <c r="D139" s="473"/>
      <c r="E139" s="540"/>
      <c r="F139" s="93"/>
      <c r="G139" s="94"/>
      <c r="H139" s="93"/>
      <c r="I139" s="91"/>
      <c r="J139" s="92"/>
      <c r="K139" s="91"/>
      <c r="L139" s="95"/>
      <c r="M139" s="96">
        <f>+M140+M146+M155</f>
        <v>678359.86400000006</v>
      </c>
    </row>
    <row r="140" spans="2:13" x14ac:dyDescent="0.2">
      <c r="B140" s="47" t="s">
        <v>701</v>
      </c>
      <c r="C140" s="48"/>
      <c r="D140" s="49"/>
      <c r="E140" s="528"/>
      <c r="F140" s="59"/>
      <c r="G140" s="51"/>
      <c r="H140" s="52"/>
      <c r="I140" s="54"/>
      <c r="J140" s="55"/>
      <c r="K140" s="54"/>
      <c r="L140" s="56"/>
      <c r="M140" s="57">
        <f>SUM(M141:M144)</f>
        <v>182009.864</v>
      </c>
    </row>
    <row r="141" spans="2:13" ht="15" customHeight="1" x14ac:dyDescent="0.2">
      <c r="B141" s="58" t="s">
        <v>238</v>
      </c>
      <c r="C141" s="78">
        <f>DATE(95,3,3)</f>
        <v>34761</v>
      </c>
      <c r="D141" s="51" t="s">
        <v>162</v>
      </c>
      <c r="E141" s="528" t="s">
        <v>237</v>
      </c>
      <c r="F141" s="59" t="s">
        <v>64</v>
      </c>
      <c r="G141" s="51" t="s">
        <v>64</v>
      </c>
      <c r="H141" s="52" t="s">
        <v>162</v>
      </c>
      <c r="I141" s="54" t="s">
        <v>233</v>
      </c>
      <c r="J141" s="55" t="s">
        <v>185</v>
      </c>
      <c r="K141" s="54" t="s">
        <v>18</v>
      </c>
      <c r="L141" s="56">
        <v>155000</v>
      </c>
      <c r="M141" s="61">
        <v>155000</v>
      </c>
    </row>
    <row r="142" spans="2:13" ht="15" customHeight="1" x14ac:dyDescent="0.2">
      <c r="B142" s="58" t="s">
        <v>249</v>
      </c>
      <c r="C142" s="78">
        <f>DATE(95,9,9)</f>
        <v>34951</v>
      </c>
      <c r="D142" s="51" t="s">
        <v>327</v>
      </c>
      <c r="E142" s="528" t="s">
        <v>247</v>
      </c>
      <c r="F142" s="59" t="s">
        <v>11</v>
      </c>
      <c r="G142" s="51" t="s">
        <v>248</v>
      </c>
      <c r="H142" s="52">
        <v>7.4999999999999997E-3</v>
      </c>
      <c r="I142" s="54" t="s">
        <v>23</v>
      </c>
      <c r="J142" s="55" t="s">
        <v>172</v>
      </c>
      <c r="K142" s="54" t="s">
        <v>174</v>
      </c>
      <c r="L142" s="56">
        <v>5000</v>
      </c>
      <c r="M142" s="61">
        <v>3400</v>
      </c>
    </row>
    <row r="143" spans="2:13" ht="15" customHeight="1" x14ac:dyDescent="0.2">
      <c r="B143" s="58" t="s">
        <v>271</v>
      </c>
      <c r="C143" s="78">
        <f>DATE(95,12,21)</f>
        <v>35054</v>
      </c>
      <c r="D143" s="51" t="s">
        <v>136</v>
      </c>
      <c r="E143" s="528" t="s">
        <v>267</v>
      </c>
      <c r="F143" s="59" t="s">
        <v>88</v>
      </c>
      <c r="G143" s="51" t="s">
        <v>268</v>
      </c>
      <c r="H143" s="52">
        <v>0.03</v>
      </c>
      <c r="I143" s="54" t="s">
        <v>269</v>
      </c>
      <c r="J143" s="55" t="s">
        <v>270</v>
      </c>
      <c r="K143" s="54" t="s">
        <v>138</v>
      </c>
      <c r="L143" s="56">
        <v>58300</v>
      </c>
      <c r="M143" s="61">
        <v>11770</v>
      </c>
    </row>
    <row r="144" spans="2:13" ht="15" customHeight="1" x14ac:dyDescent="0.2">
      <c r="B144" s="58" t="s">
        <v>278</v>
      </c>
      <c r="C144" s="78">
        <f>DATE(95,12,29)</f>
        <v>35062</v>
      </c>
      <c r="D144" s="51" t="s">
        <v>277</v>
      </c>
      <c r="E144" s="528" t="s">
        <v>25</v>
      </c>
      <c r="F144" s="59" t="s">
        <v>26</v>
      </c>
      <c r="G144" s="51" t="s">
        <v>27</v>
      </c>
      <c r="H144" s="52">
        <v>3.4000000000000002E-2</v>
      </c>
      <c r="I144" s="54" t="s">
        <v>233</v>
      </c>
      <c r="J144" s="55" t="s">
        <v>37</v>
      </c>
      <c r="K144" s="54" t="s">
        <v>18</v>
      </c>
      <c r="L144" s="56">
        <v>11839.864</v>
      </c>
      <c r="M144" s="61">
        <v>11839.864</v>
      </c>
    </row>
    <row r="145" spans="2:13" x14ac:dyDescent="0.2">
      <c r="B145" s="58"/>
      <c r="C145" s="78"/>
      <c r="D145" s="51"/>
      <c r="E145" s="528"/>
      <c r="F145" s="59"/>
      <c r="G145" s="51"/>
      <c r="H145" s="52"/>
      <c r="I145" s="54"/>
      <c r="J145" s="55"/>
      <c r="K145" s="54"/>
      <c r="L145" s="56"/>
      <c r="M145" s="61"/>
    </row>
    <row r="146" spans="2:13" x14ac:dyDescent="0.2">
      <c r="B146" s="47" t="s">
        <v>703</v>
      </c>
      <c r="C146" s="78"/>
      <c r="D146" s="51"/>
      <c r="E146" s="528"/>
      <c r="F146" s="59"/>
      <c r="G146" s="51"/>
      <c r="H146" s="52"/>
      <c r="I146" s="54"/>
      <c r="J146" s="55"/>
      <c r="K146" s="54"/>
      <c r="L146" s="56"/>
      <c r="M146" s="57">
        <f>SUM(M147:M153)</f>
        <v>491750</v>
      </c>
    </row>
    <row r="147" spans="2:13" ht="15" customHeight="1" x14ac:dyDescent="0.2">
      <c r="B147" s="58" t="s">
        <v>236</v>
      </c>
      <c r="C147" s="78">
        <f>DATE(95,1,13)</f>
        <v>34712</v>
      </c>
      <c r="D147" s="51" t="s">
        <v>235</v>
      </c>
      <c r="E147" s="528" t="s">
        <v>68</v>
      </c>
      <c r="F147" s="59" t="s">
        <v>54</v>
      </c>
      <c r="G147" s="51" t="s">
        <v>69</v>
      </c>
      <c r="H147" s="52" t="s">
        <v>55</v>
      </c>
      <c r="I147" s="54" t="s">
        <v>45</v>
      </c>
      <c r="J147" s="55" t="s">
        <v>15</v>
      </c>
      <c r="K147" s="54" t="s">
        <v>18</v>
      </c>
      <c r="L147" s="56">
        <v>100000</v>
      </c>
      <c r="M147" s="61">
        <v>100000</v>
      </c>
    </row>
    <row r="148" spans="2:13" ht="15" customHeight="1" x14ac:dyDescent="0.2">
      <c r="B148" s="58" t="s">
        <v>276</v>
      </c>
      <c r="C148" s="78">
        <f>DATE(96,2,8)</f>
        <v>35103</v>
      </c>
      <c r="D148" s="51" t="s">
        <v>272</v>
      </c>
      <c r="E148" s="528" t="s">
        <v>273</v>
      </c>
      <c r="F148" s="59" t="s">
        <v>54</v>
      </c>
      <c r="G148" s="51" t="s">
        <v>69</v>
      </c>
      <c r="H148" s="52">
        <v>0.02</v>
      </c>
      <c r="I148" s="54" t="s">
        <v>274</v>
      </c>
      <c r="J148" s="55" t="s">
        <v>275</v>
      </c>
      <c r="K148" s="54" t="s">
        <v>18</v>
      </c>
      <c r="L148" s="56">
        <v>25000</v>
      </c>
      <c r="M148" s="61">
        <v>25000</v>
      </c>
    </row>
    <row r="149" spans="2:13" ht="15" customHeight="1" x14ac:dyDescent="0.2">
      <c r="B149" s="58" t="s">
        <v>246</v>
      </c>
      <c r="C149" s="78">
        <f>DATE(95,7,12)</f>
        <v>34892</v>
      </c>
      <c r="D149" s="51" t="s">
        <v>694</v>
      </c>
      <c r="E149" s="528" t="s">
        <v>244</v>
      </c>
      <c r="F149" s="59" t="s">
        <v>21</v>
      </c>
      <c r="G149" s="51" t="s">
        <v>81</v>
      </c>
      <c r="H149" s="59" t="s">
        <v>243</v>
      </c>
      <c r="I149" s="54" t="s">
        <v>233</v>
      </c>
      <c r="J149" s="55" t="s">
        <v>245</v>
      </c>
      <c r="K149" s="54" t="s">
        <v>110</v>
      </c>
      <c r="L149" s="56">
        <v>27000</v>
      </c>
      <c r="M149" s="61">
        <v>36350</v>
      </c>
    </row>
    <row r="150" spans="2:13" ht="15" customHeight="1" x14ac:dyDescent="0.2">
      <c r="B150" s="58" t="s">
        <v>253</v>
      </c>
      <c r="C150" s="78">
        <f>DATE(95,12,6)</f>
        <v>35039</v>
      </c>
      <c r="D150" s="51" t="s">
        <v>250</v>
      </c>
      <c r="E150" s="528" t="s">
        <v>251</v>
      </c>
      <c r="F150" s="59" t="s">
        <v>54</v>
      </c>
      <c r="G150" s="51" t="s">
        <v>13</v>
      </c>
      <c r="H150" s="52" t="s">
        <v>55</v>
      </c>
      <c r="I150" s="54" t="s">
        <v>78</v>
      </c>
      <c r="J150" s="55" t="s">
        <v>252</v>
      </c>
      <c r="K150" s="54" t="s">
        <v>18</v>
      </c>
      <c r="L150" s="56">
        <v>4000</v>
      </c>
      <c r="M150" s="61">
        <v>4000</v>
      </c>
    </row>
    <row r="151" spans="2:13" ht="15" customHeight="1" x14ac:dyDescent="0.2">
      <c r="B151" s="58" t="s">
        <v>257</v>
      </c>
      <c r="C151" s="78">
        <f>DATE(95,12,6)</f>
        <v>35039</v>
      </c>
      <c r="D151" s="51" t="s">
        <v>254</v>
      </c>
      <c r="E151" s="528" t="s">
        <v>255</v>
      </c>
      <c r="F151" s="59" t="s">
        <v>21</v>
      </c>
      <c r="G151" s="51" t="s">
        <v>81</v>
      </c>
      <c r="H151" s="52" t="s">
        <v>116</v>
      </c>
      <c r="I151" s="54" t="s">
        <v>78</v>
      </c>
      <c r="J151" s="55" t="s">
        <v>256</v>
      </c>
      <c r="K151" s="54" t="s">
        <v>18</v>
      </c>
      <c r="L151" s="56">
        <v>90000</v>
      </c>
      <c r="M151" s="61">
        <v>90000</v>
      </c>
    </row>
    <row r="152" spans="2:13" ht="15" customHeight="1" x14ac:dyDescent="0.2">
      <c r="B152" s="58" t="s">
        <v>261</v>
      </c>
      <c r="C152" s="78">
        <f>DATE(95,12,8)</f>
        <v>35041</v>
      </c>
      <c r="D152" s="51" t="s">
        <v>258</v>
      </c>
      <c r="E152" s="528" t="s">
        <v>255</v>
      </c>
      <c r="F152" s="59" t="s">
        <v>21</v>
      </c>
      <c r="G152" s="51" t="s">
        <v>81</v>
      </c>
      <c r="H152" s="52" t="s">
        <v>55</v>
      </c>
      <c r="I152" s="54" t="s">
        <v>259</v>
      </c>
      <c r="J152" s="55" t="s">
        <v>260</v>
      </c>
      <c r="K152" s="54" t="s">
        <v>18</v>
      </c>
      <c r="L152" s="56">
        <v>90000</v>
      </c>
      <c r="M152" s="61">
        <v>90000</v>
      </c>
    </row>
    <row r="153" spans="2:13" ht="15" customHeight="1" x14ac:dyDescent="0.2">
      <c r="B153" s="58" t="s">
        <v>266</v>
      </c>
      <c r="C153" s="78">
        <f>DATE(95,12,12)</f>
        <v>35045</v>
      </c>
      <c r="D153" s="51" t="s">
        <v>262</v>
      </c>
      <c r="E153" s="528" t="s">
        <v>263</v>
      </c>
      <c r="F153" s="59" t="s">
        <v>264</v>
      </c>
      <c r="G153" s="51" t="s">
        <v>265</v>
      </c>
      <c r="H153" s="52" t="s">
        <v>116</v>
      </c>
      <c r="I153" s="54" t="s">
        <v>78</v>
      </c>
      <c r="J153" s="55" t="s">
        <v>256</v>
      </c>
      <c r="K153" s="54" t="s">
        <v>18</v>
      </c>
      <c r="L153" s="56">
        <v>146400</v>
      </c>
      <c r="M153" s="61">
        <v>146400</v>
      </c>
    </row>
    <row r="154" spans="2:13" x14ac:dyDescent="0.2">
      <c r="B154" s="58"/>
      <c r="C154" s="78"/>
      <c r="D154" s="51"/>
      <c r="E154" s="528"/>
      <c r="F154" s="59"/>
      <c r="G154" s="51"/>
      <c r="H154" s="52"/>
      <c r="I154" s="54"/>
      <c r="J154" s="55"/>
      <c r="K154" s="54"/>
      <c r="L154" s="56"/>
      <c r="M154" s="61"/>
    </row>
    <row r="155" spans="2:13" x14ac:dyDescent="0.2">
      <c r="B155" s="47" t="s">
        <v>702</v>
      </c>
      <c r="C155" s="78"/>
      <c r="D155" s="51"/>
      <c r="E155" s="528"/>
      <c r="F155" s="59"/>
      <c r="G155" s="51"/>
      <c r="H155" s="52"/>
      <c r="I155" s="54"/>
      <c r="J155" s="55"/>
      <c r="K155" s="54"/>
      <c r="L155" s="56"/>
      <c r="M155" s="57">
        <f>+M156</f>
        <v>4600</v>
      </c>
    </row>
    <row r="156" spans="2:13" ht="15" customHeight="1" x14ac:dyDescent="0.2">
      <c r="B156" s="443" t="s">
        <v>241</v>
      </c>
      <c r="C156" s="78">
        <f>DATE(95,3,31)</f>
        <v>34789</v>
      </c>
      <c r="D156" s="51" t="s">
        <v>239</v>
      </c>
      <c r="E156" s="528" t="s">
        <v>240</v>
      </c>
      <c r="F156" s="59" t="s">
        <v>49</v>
      </c>
      <c r="G156" s="63" t="s">
        <v>50</v>
      </c>
      <c r="H156" s="52">
        <v>0</v>
      </c>
      <c r="I156" s="54" t="s">
        <v>28</v>
      </c>
      <c r="J156" s="55" t="s">
        <v>37</v>
      </c>
      <c r="K156" s="54" t="s">
        <v>242</v>
      </c>
      <c r="L156" s="56">
        <v>2845.7626</v>
      </c>
      <c r="M156" s="61">
        <v>4600</v>
      </c>
    </row>
    <row r="157" spans="2:13" ht="13.5" thickBot="1" x14ac:dyDescent="0.25">
      <c r="B157" s="81"/>
      <c r="C157" s="82"/>
      <c r="D157" s="70"/>
      <c r="E157" s="533"/>
      <c r="F157" s="618"/>
      <c r="G157" s="70"/>
      <c r="H157" s="72"/>
      <c r="I157" s="73"/>
      <c r="J157" s="74"/>
      <c r="K157" s="73"/>
      <c r="L157" s="75"/>
      <c r="M157" s="76"/>
    </row>
    <row r="158" spans="2:13" ht="13.5" thickTop="1" x14ac:dyDescent="0.2">
      <c r="B158" s="474"/>
      <c r="C158" s="459"/>
      <c r="D158" s="460"/>
      <c r="E158" s="534"/>
      <c r="F158" s="619"/>
      <c r="G158" s="460"/>
      <c r="H158" s="462"/>
      <c r="I158" s="463"/>
      <c r="J158" s="464"/>
      <c r="K158" s="463"/>
      <c r="L158" s="465"/>
      <c r="M158" s="466"/>
    </row>
    <row r="159" spans="2:13" s="46" customFormat="1" ht="18" x14ac:dyDescent="0.2">
      <c r="B159" s="36">
        <v>1996</v>
      </c>
      <c r="C159" s="37"/>
      <c r="D159" s="38"/>
      <c r="E159" s="527"/>
      <c r="F159" s="617"/>
      <c r="G159" s="39"/>
      <c r="H159" s="40"/>
      <c r="I159" s="42"/>
      <c r="J159" s="43"/>
      <c r="K159" s="42"/>
      <c r="L159" s="44"/>
      <c r="M159" s="45">
        <f>+M160+M175+M187</f>
        <v>1806309</v>
      </c>
    </row>
    <row r="160" spans="2:13" s="46" customFormat="1" x14ac:dyDescent="0.2">
      <c r="B160" s="47" t="s">
        <v>701</v>
      </c>
      <c r="C160" s="37"/>
      <c r="D160" s="38"/>
      <c r="E160" s="527"/>
      <c r="F160" s="617"/>
      <c r="G160" s="39"/>
      <c r="H160" s="40"/>
      <c r="I160" s="42"/>
      <c r="J160" s="43"/>
      <c r="K160" s="42"/>
      <c r="L160" s="44"/>
      <c r="M160" s="57">
        <f>SUM(M161:M173)</f>
        <v>1039980</v>
      </c>
    </row>
    <row r="161" spans="2:13" ht="15" customHeight="1" x14ac:dyDescent="0.2">
      <c r="B161" s="58" t="s">
        <v>648</v>
      </c>
      <c r="C161" s="78">
        <f>DATE(96,2,16)</f>
        <v>35111</v>
      </c>
      <c r="D161" s="51" t="s">
        <v>162</v>
      </c>
      <c r="E161" s="528" t="s">
        <v>279</v>
      </c>
      <c r="F161" s="59" t="s">
        <v>54</v>
      </c>
      <c r="G161" s="51" t="s">
        <v>69</v>
      </c>
      <c r="H161" s="52" t="s">
        <v>162</v>
      </c>
      <c r="I161" s="54" t="s">
        <v>233</v>
      </c>
      <c r="J161" s="55" t="s">
        <v>280</v>
      </c>
      <c r="K161" s="54" t="s">
        <v>18</v>
      </c>
      <c r="L161" s="56">
        <v>100000</v>
      </c>
      <c r="M161" s="61">
        <v>100000</v>
      </c>
    </row>
    <row r="162" spans="2:13" ht="15" customHeight="1" x14ac:dyDescent="0.2">
      <c r="B162" s="58" t="s">
        <v>649</v>
      </c>
      <c r="C162" s="78">
        <f>DATE(96,2,29)</f>
        <v>35124</v>
      </c>
      <c r="D162" s="51" t="s">
        <v>136</v>
      </c>
      <c r="E162" s="528" t="s">
        <v>281</v>
      </c>
      <c r="F162" s="59" t="s">
        <v>88</v>
      </c>
      <c r="G162" s="51" t="s">
        <v>667</v>
      </c>
      <c r="H162" s="97">
        <v>0.03</v>
      </c>
      <c r="I162" s="54" t="s">
        <v>269</v>
      </c>
      <c r="J162" s="55" t="s">
        <v>270</v>
      </c>
      <c r="K162" s="54" t="s">
        <v>138</v>
      </c>
      <c r="L162" s="56">
        <v>1700</v>
      </c>
      <c r="M162" s="61">
        <v>340</v>
      </c>
    </row>
    <row r="163" spans="2:13" ht="15" customHeight="1" x14ac:dyDescent="0.2">
      <c r="B163" s="58" t="s">
        <v>650</v>
      </c>
      <c r="C163" s="78">
        <f>DATE(96,3,24)</f>
        <v>35148</v>
      </c>
      <c r="D163" s="51" t="s">
        <v>70</v>
      </c>
      <c r="E163" s="528" t="s">
        <v>282</v>
      </c>
      <c r="F163" s="59" t="s">
        <v>88</v>
      </c>
      <c r="G163" s="51" t="s">
        <v>89</v>
      </c>
      <c r="H163" s="97">
        <v>0.03</v>
      </c>
      <c r="I163" s="54" t="s">
        <v>283</v>
      </c>
      <c r="J163" s="55" t="s">
        <v>128</v>
      </c>
      <c r="K163" s="54" t="s">
        <v>74</v>
      </c>
      <c r="L163" s="56">
        <v>8427000</v>
      </c>
      <c r="M163" s="61">
        <v>78910</v>
      </c>
    </row>
    <row r="164" spans="2:13" ht="15" customHeight="1" x14ac:dyDescent="0.2">
      <c r="B164" s="58" t="s">
        <v>651</v>
      </c>
      <c r="C164" s="78">
        <f>DATE(96,3,24)</f>
        <v>35148</v>
      </c>
      <c r="D164" s="51" t="s">
        <v>70</v>
      </c>
      <c r="E164" s="528" t="s">
        <v>284</v>
      </c>
      <c r="F164" s="59" t="s">
        <v>21</v>
      </c>
      <c r="G164" s="51" t="s">
        <v>81</v>
      </c>
      <c r="H164" s="97">
        <v>0.03</v>
      </c>
      <c r="I164" s="54" t="s">
        <v>283</v>
      </c>
      <c r="J164" s="55" t="s">
        <v>128</v>
      </c>
      <c r="K164" s="54" t="s">
        <v>74</v>
      </c>
      <c r="L164" s="56">
        <v>16624000</v>
      </c>
      <c r="M164" s="61">
        <v>155670</v>
      </c>
    </row>
    <row r="165" spans="2:13" ht="15" customHeight="1" x14ac:dyDescent="0.2">
      <c r="B165" s="58" t="s">
        <v>294</v>
      </c>
      <c r="C165" s="78">
        <f>DATE(96,6,5)</f>
        <v>35221</v>
      </c>
      <c r="D165" s="51" t="s">
        <v>327</v>
      </c>
      <c r="E165" s="528" t="s">
        <v>292</v>
      </c>
      <c r="F165" s="59" t="s">
        <v>21</v>
      </c>
      <c r="G165" s="51" t="s">
        <v>81</v>
      </c>
      <c r="H165" s="515" t="s">
        <v>1882</v>
      </c>
      <c r="I165" s="54" t="s">
        <v>283</v>
      </c>
      <c r="J165" s="55" t="s">
        <v>293</v>
      </c>
      <c r="K165" s="54" t="s">
        <v>174</v>
      </c>
      <c r="L165" s="56">
        <v>83000</v>
      </c>
      <c r="M165" s="61">
        <v>54050</v>
      </c>
    </row>
    <row r="166" spans="2:13" ht="15" customHeight="1" x14ac:dyDescent="0.2">
      <c r="B166" s="58" t="s">
        <v>652</v>
      </c>
      <c r="C166" s="78">
        <f>DATE(96,10,18)</f>
        <v>35356</v>
      </c>
      <c r="D166" s="51" t="s">
        <v>136</v>
      </c>
      <c r="E166" s="529" t="s">
        <v>1844</v>
      </c>
      <c r="F166" s="59" t="s">
        <v>141</v>
      </c>
      <c r="G166" s="51" t="s">
        <v>142</v>
      </c>
      <c r="H166" s="98">
        <v>3.4000000000000002E-2</v>
      </c>
      <c r="I166" s="99" t="s">
        <v>385</v>
      </c>
      <c r="J166" s="100" t="s">
        <v>217</v>
      </c>
      <c r="K166" s="54" t="s">
        <v>138</v>
      </c>
      <c r="L166" s="56">
        <v>34500</v>
      </c>
      <c r="M166" s="101">
        <v>6290</v>
      </c>
    </row>
    <row r="167" spans="2:13" ht="15" customHeight="1" x14ac:dyDescent="0.2">
      <c r="B167" s="58" t="s">
        <v>652</v>
      </c>
      <c r="C167" s="78">
        <f>DATE(96,10,18)</f>
        <v>35356</v>
      </c>
      <c r="D167" s="51" t="s">
        <v>136</v>
      </c>
      <c r="E167" s="529" t="s">
        <v>1845</v>
      </c>
      <c r="F167" s="59" t="s">
        <v>141</v>
      </c>
      <c r="G167" s="51" t="s">
        <v>142</v>
      </c>
      <c r="H167" s="98">
        <v>3.4000000000000002E-2</v>
      </c>
      <c r="I167" s="99" t="s">
        <v>385</v>
      </c>
      <c r="J167" s="100" t="s">
        <v>217</v>
      </c>
      <c r="K167" s="54" t="s">
        <v>138</v>
      </c>
      <c r="L167" s="56">
        <v>30500</v>
      </c>
      <c r="M167" s="101">
        <v>6200</v>
      </c>
    </row>
    <row r="168" spans="2:13" ht="15" customHeight="1" x14ac:dyDescent="0.2">
      <c r="B168" s="58" t="s">
        <v>654</v>
      </c>
      <c r="C168" s="102">
        <v>35427</v>
      </c>
      <c r="D168" s="51" t="s">
        <v>70</v>
      </c>
      <c r="E168" s="528" t="s">
        <v>313</v>
      </c>
      <c r="F168" s="59" t="s">
        <v>21</v>
      </c>
      <c r="G168" s="51" t="s">
        <v>81</v>
      </c>
      <c r="H168" s="515" t="s">
        <v>1883</v>
      </c>
      <c r="I168" s="54" t="s">
        <v>46</v>
      </c>
      <c r="J168" s="55" t="s">
        <v>312</v>
      </c>
      <c r="K168" s="54" t="s">
        <v>74</v>
      </c>
      <c r="L168" s="56">
        <v>16421000</v>
      </c>
      <c r="M168" s="61">
        <v>142940</v>
      </c>
    </row>
    <row r="169" spans="2:13" ht="15" customHeight="1" x14ac:dyDescent="0.2">
      <c r="B169" s="58" t="s">
        <v>655</v>
      </c>
      <c r="C169" s="102">
        <v>35426</v>
      </c>
      <c r="D169" s="51" t="s">
        <v>70</v>
      </c>
      <c r="E169" s="528" t="s">
        <v>314</v>
      </c>
      <c r="F169" s="59" t="s">
        <v>88</v>
      </c>
      <c r="G169" s="51" t="s">
        <v>200</v>
      </c>
      <c r="H169" s="515" t="s">
        <v>1884</v>
      </c>
      <c r="I169" s="54" t="s">
        <v>46</v>
      </c>
      <c r="J169" s="55" t="s">
        <v>312</v>
      </c>
      <c r="K169" s="54" t="s">
        <v>74</v>
      </c>
      <c r="L169" s="56">
        <v>12660000</v>
      </c>
      <c r="M169" s="61">
        <v>110210</v>
      </c>
    </row>
    <row r="170" spans="2:13" ht="15" customHeight="1" x14ac:dyDescent="0.2">
      <c r="B170" s="58" t="s">
        <v>653</v>
      </c>
      <c r="C170" s="102">
        <v>35428</v>
      </c>
      <c r="D170" s="51" t="s">
        <v>70</v>
      </c>
      <c r="E170" s="528" t="s">
        <v>311</v>
      </c>
      <c r="F170" s="59" t="s">
        <v>64</v>
      </c>
      <c r="G170" s="51" t="s">
        <v>156</v>
      </c>
      <c r="H170" s="515" t="s">
        <v>1883</v>
      </c>
      <c r="I170" s="54" t="s">
        <v>46</v>
      </c>
      <c r="J170" s="55" t="s">
        <v>312</v>
      </c>
      <c r="K170" s="54" t="s">
        <v>74</v>
      </c>
      <c r="L170" s="56">
        <v>33000000</v>
      </c>
      <c r="M170" s="61">
        <v>287270</v>
      </c>
    </row>
    <row r="171" spans="2:13" ht="15" customHeight="1" x14ac:dyDescent="0.2">
      <c r="B171" s="103" t="s">
        <v>332</v>
      </c>
      <c r="C171" s="78">
        <v>35426</v>
      </c>
      <c r="D171" s="104" t="s">
        <v>327</v>
      </c>
      <c r="E171" s="541" t="s">
        <v>331</v>
      </c>
      <c r="F171" s="105" t="s">
        <v>88</v>
      </c>
      <c r="G171" s="104" t="s">
        <v>171</v>
      </c>
      <c r="H171" s="199" t="s">
        <v>1885</v>
      </c>
      <c r="I171" s="99" t="s">
        <v>37</v>
      </c>
      <c r="J171" s="100" t="s">
        <v>128</v>
      </c>
      <c r="K171" s="99" t="s">
        <v>174</v>
      </c>
      <c r="L171" s="56">
        <v>47966</v>
      </c>
      <c r="M171" s="61">
        <v>30890</v>
      </c>
    </row>
    <row r="172" spans="2:13" ht="15" customHeight="1" x14ac:dyDescent="0.2">
      <c r="B172" s="58" t="s">
        <v>656</v>
      </c>
      <c r="C172" s="102">
        <v>35429</v>
      </c>
      <c r="D172" s="51" t="s">
        <v>70</v>
      </c>
      <c r="E172" s="528" t="s">
        <v>315</v>
      </c>
      <c r="F172" s="59" t="s">
        <v>11</v>
      </c>
      <c r="G172" s="51" t="s">
        <v>36</v>
      </c>
      <c r="H172" s="50" t="s">
        <v>316</v>
      </c>
      <c r="I172" s="54" t="s">
        <v>299</v>
      </c>
      <c r="J172" s="55" t="s">
        <v>317</v>
      </c>
      <c r="K172" s="54" t="s">
        <v>74</v>
      </c>
      <c r="L172" s="56">
        <v>6723000</v>
      </c>
      <c r="M172" s="61">
        <v>58520</v>
      </c>
    </row>
    <row r="173" spans="2:13" ht="15" customHeight="1" x14ac:dyDescent="0.2">
      <c r="B173" s="103" t="s">
        <v>330</v>
      </c>
      <c r="C173" s="102">
        <v>35427</v>
      </c>
      <c r="D173" s="104" t="s">
        <v>327</v>
      </c>
      <c r="E173" s="541" t="s">
        <v>328</v>
      </c>
      <c r="F173" s="105" t="s">
        <v>88</v>
      </c>
      <c r="G173" s="104" t="s">
        <v>329</v>
      </c>
      <c r="H173" s="106">
        <v>7.4999999999999997E-3</v>
      </c>
      <c r="I173" s="99" t="s">
        <v>37</v>
      </c>
      <c r="J173" s="100" t="s">
        <v>172</v>
      </c>
      <c r="K173" s="99" t="s">
        <v>174</v>
      </c>
      <c r="L173" s="107">
        <v>13500</v>
      </c>
      <c r="M173" s="101">
        <v>8690</v>
      </c>
    </row>
    <row r="174" spans="2:13" x14ac:dyDescent="0.2">
      <c r="B174" s="58"/>
      <c r="C174" s="102"/>
      <c r="D174" s="51"/>
      <c r="E174" s="528"/>
      <c r="F174" s="59"/>
      <c r="G174" s="51"/>
      <c r="H174" s="59"/>
      <c r="I174" s="54"/>
      <c r="J174" s="55"/>
      <c r="K174" s="54"/>
      <c r="L174" s="56"/>
      <c r="M174" s="61"/>
    </row>
    <row r="175" spans="2:13" x14ac:dyDescent="0.2">
      <c r="B175" s="47" t="s">
        <v>703</v>
      </c>
      <c r="C175" s="102"/>
      <c r="D175" s="51"/>
      <c r="E175" s="528"/>
      <c r="F175" s="59"/>
      <c r="G175" s="51"/>
      <c r="H175" s="59"/>
      <c r="I175" s="54"/>
      <c r="J175" s="55"/>
      <c r="K175" s="54"/>
      <c r="L175" s="56"/>
      <c r="M175" s="57">
        <f>SUM(M176:M185)</f>
        <v>750030</v>
      </c>
    </row>
    <row r="176" spans="2:13" ht="15" customHeight="1" x14ac:dyDescent="0.2">
      <c r="B176" s="58" t="s">
        <v>661</v>
      </c>
      <c r="C176" s="78">
        <f>DATE(96,4,10)</f>
        <v>35165</v>
      </c>
      <c r="D176" s="51" t="s">
        <v>288</v>
      </c>
      <c r="E176" s="529" t="s">
        <v>1759</v>
      </c>
      <c r="F176" s="59" t="s">
        <v>11</v>
      </c>
      <c r="G176" s="51" t="s">
        <v>36</v>
      </c>
      <c r="H176" s="59" t="s">
        <v>288</v>
      </c>
      <c r="I176" s="54" t="s">
        <v>45</v>
      </c>
      <c r="J176" s="55" t="s">
        <v>289</v>
      </c>
      <c r="K176" s="54" t="s">
        <v>133</v>
      </c>
      <c r="L176" s="56">
        <v>8250</v>
      </c>
      <c r="M176" s="61">
        <v>12030</v>
      </c>
    </row>
    <row r="177" spans="2:13" ht="15" customHeight="1" x14ac:dyDescent="0.2">
      <c r="B177" s="58" t="s">
        <v>660</v>
      </c>
      <c r="C177" s="78">
        <f>DATE(96,4,19)</f>
        <v>35174</v>
      </c>
      <c r="D177" s="51" t="s">
        <v>742</v>
      </c>
      <c r="E177" s="528" t="s">
        <v>287</v>
      </c>
      <c r="F177" s="59" t="s">
        <v>11</v>
      </c>
      <c r="G177" s="51" t="s">
        <v>36</v>
      </c>
      <c r="H177" s="59" t="s">
        <v>55</v>
      </c>
      <c r="I177" s="54" t="s">
        <v>233</v>
      </c>
      <c r="J177" s="55" t="s">
        <v>245</v>
      </c>
      <c r="K177" s="54" t="s">
        <v>18</v>
      </c>
      <c r="L177" s="56">
        <v>21000</v>
      </c>
      <c r="M177" s="61">
        <v>21000</v>
      </c>
    </row>
    <row r="178" spans="2:13" ht="15" customHeight="1" x14ac:dyDescent="0.2">
      <c r="B178" s="58" t="s">
        <v>659</v>
      </c>
      <c r="C178" s="78">
        <f>DATE(96,4,26)</f>
        <v>35181</v>
      </c>
      <c r="D178" s="51" t="s">
        <v>97</v>
      </c>
      <c r="E178" s="528" t="s">
        <v>285</v>
      </c>
      <c r="F178" s="59" t="s">
        <v>21</v>
      </c>
      <c r="G178" s="51" t="s">
        <v>81</v>
      </c>
      <c r="H178" s="52" t="s">
        <v>196</v>
      </c>
      <c r="I178" s="54" t="s">
        <v>233</v>
      </c>
      <c r="J178" s="55" t="s">
        <v>286</v>
      </c>
      <c r="K178" s="54" t="s">
        <v>18</v>
      </c>
      <c r="L178" s="56">
        <v>80000</v>
      </c>
      <c r="M178" s="61">
        <v>80000</v>
      </c>
    </row>
    <row r="179" spans="2:13" ht="15" customHeight="1" x14ac:dyDescent="0.2">
      <c r="B179" s="58" t="s">
        <v>291</v>
      </c>
      <c r="C179" s="78">
        <f>DATE(96,7,11)</f>
        <v>35257</v>
      </c>
      <c r="D179" s="51" t="s">
        <v>743</v>
      </c>
      <c r="E179" s="528" t="s">
        <v>290</v>
      </c>
      <c r="F179" s="620" t="s">
        <v>679</v>
      </c>
      <c r="G179" s="51" t="s">
        <v>178</v>
      </c>
      <c r="H179" s="59" t="s">
        <v>55</v>
      </c>
      <c r="I179" s="54" t="s">
        <v>233</v>
      </c>
      <c r="J179" s="55" t="s">
        <v>260</v>
      </c>
      <c r="K179" s="54" t="s">
        <v>18</v>
      </c>
      <c r="L179" s="56">
        <v>150000</v>
      </c>
      <c r="M179" s="61">
        <v>150000</v>
      </c>
    </row>
    <row r="180" spans="2:13" ht="15" customHeight="1" x14ac:dyDescent="0.2">
      <c r="B180" s="58" t="s">
        <v>296</v>
      </c>
      <c r="C180" s="78">
        <f>DATE(96,8,20)</f>
        <v>35297</v>
      </c>
      <c r="D180" s="51" t="s">
        <v>744</v>
      </c>
      <c r="E180" s="528" t="s">
        <v>290</v>
      </c>
      <c r="F180" s="620" t="s">
        <v>679</v>
      </c>
      <c r="G180" s="51" t="s">
        <v>178</v>
      </c>
      <c r="H180" s="59" t="s">
        <v>116</v>
      </c>
      <c r="I180" s="54" t="s">
        <v>15</v>
      </c>
      <c r="J180" s="55" t="s">
        <v>295</v>
      </c>
      <c r="K180" s="54" t="s">
        <v>18</v>
      </c>
      <c r="L180" s="56">
        <v>150000</v>
      </c>
      <c r="M180" s="61">
        <v>150000</v>
      </c>
    </row>
    <row r="181" spans="2:13" ht="15" customHeight="1" x14ac:dyDescent="0.2">
      <c r="B181" s="58" t="s">
        <v>303</v>
      </c>
      <c r="C181" s="78">
        <f>DATE(96,8,21)</f>
        <v>35298</v>
      </c>
      <c r="D181" s="51" t="s">
        <v>745</v>
      </c>
      <c r="E181" s="528" t="s">
        <v>300</v>
      </c>
      <c r="F181" s="59" t="s">
        <v>11</v>
      </c>
      <c r="G181" s="51" t="s">
        <v>36</v>
      </c>
      <c r="H181" s="59" t="s">
        <v>116</v>
      </c>
      <c r="I181" s="54" t="s">
        <v>301</v>
      </c>
      <c r="J181" s="55" t="s">
        <v>302</v>
      </c>
      <c r="K181" s="54" t="s">
        <v>18</v>
      </c>
      <c r="L181" s="56">
        <v>85000</v>
      </c>
      <c r="M181" s="61">
        <v>85000</v>
      </c>
    </row>
    <row r="182" spans="2:13" ht="15" customHeight="1" x14ac:dyDescent="0.2">
      <c r="B182" s="58" t="s">
        <v>305</v>
      </c>
      <c r="C182" s="78">
        <f>DATE(96,9,25)</f>
        <v>35333</v>
      </c>
      <c r="D182" s="51" t="s">
        <v>746</v>
      </c>
      <c r="E182" s="529" t="s">
        <v>1846</v>
      </c>
      <c r="F182" s="59" t="s">
        <v>264</v>
      </c>
      <c r="G182" s="51" t="s">
        <v>265</v>
      </c>
      <c r="H182" s="59" t="s">
        <v>55</v>
      </c>
      <c r="I182" s="54" t="s">
        <v>304</v>
      </c>
      <c r="J182" s="55" t="s">
        <v>152</v>
      </c>
      <c r="K182" s="54" t="s">
        <v>18</v>
      </c>
      <c r="L182" s="56">
        <v>500</v>
      </c>
      <c r="M182" s="61">
        <v>500</v>
      </c>
    </row>
    <row r="183" spans="2:13" ht="15" customHeight="1" x14ac:dyDescent="0.2">
      <c r="B183" s="58" t="s">
        <v>310</v>
      </c>
      <c r="C183" s="78">
        <v>35375</v>
      </c>
      <c r="D183" s="51" t="s">
        <v>747</v>
      </c>
      <c r="E183" s="529" t="s">
        <v>1847</v>
      </c>
      <c r="F183" s="59" t="s">
        <v>306</v>
      </c>
      <c r="G183" s="51" t="s">
        <v>307</v>
      </c>
      <c r="H183" s="59" t="s">
        <v>55</v>
      </c>
      <c r="I183" s="99" t="s">
        <v>408</v>
      </c>
      <c r="J183" s="100" t="s">
        <v>309</v>
      </c>
      <c r="K183" s="54" t="s">
        <v>18</v>
      </c>
      <c r="L183" s="56">
        <v>1500</v>
      </c>
      <c r="M183" s="101">
        <v>1500</v>
      </c>
    </row>
    <row r="184" spans="2:13" ht="15" customHeight="1" x14ac:dyDescent="0.2">
      <c r="B184" s="108" t="s">
        <v>662</v>
      </c>
      <c r="C184" s="102">
        <v>35407</v>
      </c>
      <c r="D184" s="104" t="s">
        <v>748</v>
      </c>
      <c r="E184" s="541" t="s">
        <v>318</v>
      </c>
      <c r="F184" s="105" t="s">
        <v>319</v>
      </c>
      <c r="G184" s="104" t="s">
        <v>265</v>
      </c>
      <c r="H184" s="105" t="s">
        <v>55</v>
      </c>
      <c r="I184" s="99" t="s">
        <v>309</v>
      </c>
      <c r="J184" s="100" t="s">
        <v>128</v>
      </c>
      <c r="K184" s="99" t="s">
        <v>18</v>
      </c>
      <c r="L184" s="107">
        <v>100000</v>
      </c>
      <c r="M184" s="101">
        <v>100000</v>
      </c>
    </row>
    <row r="185" spans="2:13" ht="15" customHeight="1" x14ac:dyDescent="0.2">
      <c r="B185" s="103" t="s">
        <v>326</v>
      </c>
      <c r="C185" s="102">
        <v>35427</v>
      </c>
      <c r="D185" s="104" t="s">
        <v>749</v>
      </c>
      <c r="E185" s="541" t="s">
        <v>323</v>
      </c>
      <c r="F185" s="105" t="s">
        <v>54</v>
      </c>
      <c r="G185" s="104" t="s">
        <v>13</v>
      </c>
      <c r="H185" s="105" t="s">
        <v>55</v>
      </c>
      <c r="I185" s="99" t="s">
        <v>324</v>
      </c>
      <c r="J185" s="100" t="s">
        <v>325</v>
      </c>
      <c r="K185" s="109" t="s">
        <v>18</v>
      </c>
      <c r="L185" s="107">
        <v>150000</v>
      </c>
      <c r="M185" s="101">
        <v>150000</v>
      </c>
    </row>
    <row r="186" spans="2:13" x14ac:dyDescent="0.2">
      <c r="B186" s="103"/>
      <c r="C186" s="102"/>
      <c r="D186" s="104"/>
      <c r="E186" s="541"/>
      <c r="F186" s="105"/>
      <c r="G186" s="104"/>
      <c r="H186" s="105"/>
      <c r="I186" s="99"/>
      <c r="J186" s="100"/>
      <c r="K186" s="109"/>
      <c r="L186" s="107"/>
      <c r="M186" s="101"/>
    </row>
    <row r="187" spans="2:13" x14ac:dyDescent="0.2">
      <c r="B187" s="47" t="s">
        <v>702</v>
      </c>
      <c r="C187" s="102"/>
      <c r="D187" s="104"/>
      <c r="E187" s="541"/>
      <c r="F187" s="105"/>
      <c r="G187" s="104"/>
      <c r="H187" s="105"/>
      <c r="I187" s="99"/>
      <c r="J187" s="100"/>
      <c r="K187" s="109"/>
      <c r="L187" s="107"/>
      <c r="M187" s="110">
        <f>SUM(M188:M189)</f>
        <v>16299</v>
      </c>
    </row>
    <row r="188" spans="2:13" ht="15" customHeight="1" x14ac:dyDescent="0.2">
      <c r="B188" s="442" t="s">
        <v>657</v>
      </c>
      <c r="C188" s="78">
        <f>DATE(96,8,25)</f>
        <v>35302</v>
      </c>
      <c r="D188" s="51" t="s">
        <v>297</v>
      </c>
      <c r="E188" s="528" t="s">
        <v>298</v>
      </c>
      <c r="F188" s="59" t="s">
        <v>384</v>
      </c>
      <c r="G188" s="51" t="s">
        <v>200</v>
      </c>
      <c r="H188" s="52">
        <v>0</v>
      </c>
      <c r="I188" s="54" t="s">
        <v>15</v>
      </c>
      <c r="J188" s="55" t="s">
        <v>299</v>
      </c>
      <c r="K188" s="54" t="s">
        <v>18</v>
      </c>
      <c r="L188" s="56">
        <v>9999</v>
      </c>
      <c r="M188" s="61">
        <v>9999</v>
      </c>
    </row>
    <row r="189" spans="2:13" ht="15" customHeight="1" thickBot="1" x14ac:dyDescent="0.25">
      <c r="B189" s="475" t="s">
        <v>658</v>
      </c>
      <c r="C189" s="111">
        <v>35415</v>
      </c>
      <c r="D189" s="112" t="s">
        <v>320</v>
      </c>
      <c r="E189" s="542" t="s">
        <v>321</v>
      </c>
      <c r="F189" s="129" t="s">
        <v>384</v>
      </c>
      <c r="G189" s="112" t="s">
        <v>200</v>
      </c>
      <c r="H189" s="72">
        <v>0</v>
      </c>
      <c r="I189" s="113" t="s">
        <v>322</v>
      </c>
      <c r="J189" s="114" t="s">
        <v>37</v>
      </c>
      <c r="K189" s="113" t="s">
        <v>18</v>
      </c>
      <c r="L189" s="115">
        <v>6300</v>
      </c>
      <c r="M189" s="116">
        <v>6300</v>
      </c>
    </row>
    <row r="190" spans="2:13" ht="15" customHeight="1" thickTop="1" x14ac:dyDescent="0.2">
      <c r="B190" s="467"/>
      <c r="C190" s="223"/>
      <c r="D190" s="32"/>
      <c r="E190" s="526"/>
      <c r="F190" s="33"/>
      <c r="G190" s="32"/>
      <c r="H190" s="462"/>
      <c r="I190" s="34"/>
      <c r="J190" s="35"/>
      <c r="K190" s="34"/>
      <c r="L190" s="171"/>
      <c r="M190" s="478"/>
    </row>
    <row r="191" spans="2:13" s="46" customFormat="1" ht="18" x14ac:dyDescent="0.2">
      <c r="B191" s="117">
        <v>1997</v>
      </c>
      <c r="C191" s="37"/>
      <c r="D191" s="476"/>
      <c r="E191" s="543"/>
      <c r="F191" s="118"/>
      <c r="G191" s="477"/>
      <c r="H191" s="118"/>
      <c r="I191" s="119"/>
      <c r="J191" s="120"/>
      <c r="K191" s="119"/>
      <c r="L191" s="44"/>
      <c r="M191" s="45">
        <f>+M192+M204+M221</f>
        <v>1707527</v>
      </c>
    </row>
    <row r="192" spans="2:13" x14ac:dyDescent="0.2">
      <c r="B192" s="47" t="s">
        <v>701</v>
      </c>
      <c r="C192" s="121"/>
      <c r="D192" s="104"/>
      <c r="E192" s="541"/>
      <c r="F192" s="105"/>
      <c r="G192" s="104"/>
      <c r="H192" s="105"/>
      <c r="I192" s="99"/>
      <c r="J192" s="100"/>
      <c r="K192" s="109"/>
      <c r="L192" s="107"/>
      <c r="M192" s="110">
        <f>SUM(M193:M202)</f>
        <v>486030</v>
      </c>
    </row>
    <row r="193" spans="2:13" ht="15" customHeight="1" x14ac:dyDescent="0.2">
      <c r="B193" s="103" t="s">
        <v>399</v>
      </c>
      <c r="C193" s="102">
        <v>35805</v>
      </c>
      <c r="D193" s="104" t="s">
        <v>327</v>
      </c>
      <c r="E193" s="541" t="s">
        <v>397</v>
      </c>
      <c r="F193" s="105" t="s">
        <v>319</v>
      </c>
      <c r="G193" s="104" t="s">
        <v>398</v>
      </c>
      <c r="H193" s="106">
        <v>7.4999999999999997E-3</v>
      </c>
      <c r="I193" s="99" t="s">
        <v>37</v>
      </c>
      <c r="J193" s="100" t="s">
        <v>172</v>
      </c>
      <c r="K193" s="99" t="s">
        <v>174</v>
      </c>
      <c r="L193" s="107">
        <v>15000</v>
      </c>
      <c r="M193" s="101">
        <v>8390</v>
      </c>
    </row>
    <row r="194" spans="2:13" ht="15" customHeight="1" x14ac:dyDescent="0.2">
      <c r="B194" s="103" t="s">
        <v>348</v>
      </c>
      <c r="C194" s="102">
        <v>35488</v>
      </c>
      <c r="D194" s="104" t="s">
        <v>162</v>
      </c>
      <c r="E194" s="541" t="s">
        <v>825</v>
      </c>
      <c r="F194" s="105" t="s">
        <v>54</v>
      </c>
      <c r="G194" s="104" t="s">
        <v>13</v>
      </c>
      <c r="H194" s="105" t="s">
        <v>841</v>
      </c>
      <c r="I194" s="99" t="s">
        <v>347</v>
      </c>
      <c r="J194" s="100" t="s">
        <v>280</v>
      </c>
      <c r="K194" s="99" t="s">
        <v>18</v>
      </c>
      <c r="L194" s="122">
        <v>38000</v>
      </c>
      <c r="M194" s="123">
        <v>38000</v>
      </c>
    </row>
    <row r="195" spans="2:13" ht="15" customHeight="1" x14ac:dyDescent="0.2">
      <c r="B195" s="103" t="s">
        <v>349</v>
      </c>
      <c r="C195" s="102">
        <v>35488</v>
      </c>
      <c r="D195" s="104" t="s">
        <v>162</v>
      </c>
      <c r="E195" s="541" t="s">
        <v>813</v>
      </c>
      <c r="F195" s="105" t="s">
        <v>54</v>
      </c>
      <c r="G195" s="104" t="s">
        <v>13</v>
      </c>
      <c r="H195" s="105" t="s">
        <v>841</v>
      </c>
      <c r="I195" s="99" t="s">
        <v>309</v>
      </c>
      <c r="J195" s="100" t="s">
        <v>345</v>
      </c>
      <c r="K195" s="99" t="s">
        <v>18</v>
      </c>
      <c r="L195" s="122">
        <v>80000</v>
      </c>
      <c r="M195" s="123">
        <v>80000</v>
      </c>
    </row>
    <row r="196" spans="2:13" ht="15" customHeight="1" x14ac:dyDescent="0.2">
      <c r="B196" s="103" t="s">
        <v>367</v>
      </c>
      <c r="C196" s="102">
        <v>35745</v>
      </c>
      <c r="D196" s="104" t="s">
        <v>70</v>
      </c>
      <c r="E196" s="541" t="s">
        <v>363</v>
      </c>
      <c r="F196" s="105" t="s">
        <v>64</v>
      </c>
      <c r="G196" s="104" t="s">
        <v>364</v>
      </c>
      <c r="H196" s="105" t="s">
        <v>365</v>
      </c>
      <c r="I196" s="99" t="s">
        <v>357</v>
      </c>
      <c r="J196" s="100" t="s">
        <v>366</v>
      </c>
      <c r="K196" s="99" t="s">
        <v>74</v>
      </c>
      <c r="L196" s="107">
        <v>10140000</v>
      </c>
      <c r="M196" s="101">
        <v>81630</v>
      </c>
    </row>
    <row r="197" spans="2:13" ht="15" customHeight="1" x14ac:dyDescent="0.2">
      <c r="B197" s="103" t="s">
        <v>370</v>
      </c>
      <c r="C197" s="102">
        <v>35745</v>
      </c>
      <c r="D197" s="104" t="s">
        <v>70</v>
      </c>
      <c r="E197" s="541" t="s">
        <v>368</v>
      </c>
      <c r="F197" s="105" t="s">
        <v>88</v>
      </c>
      <c r="G197" s="104" t="s">
        <v>89</v>
      </c>
      <c r="H197" s="105" t="s">
        <v>369</v>
      </c>
      <c r="I197" s="99" t="s">
        <v>357</v>
      </c>
      <c r="J197" s="100" t="s">
        <v>366</v>
      </c>
      <c r="K197" s="99" t="s">
        <v>74</v>
      </c>
      <c r="L197" s="107">
        <v>11640000</v>
      </c>
      <c r="M197" s="101">
        <v>93700</v>
      </c>
    </row>
    <row r="198" spans="2:13" ht="15" customHeight="1" x14ac:dyDescent="0.2">
      <c r="B198" s="103" t="s">
        <v>372</v>
      </c>
      <c r="C198" s="102">
        <v>35745</v>
      </c>
      <c r="D198" s="104" t="s">
        <v>70</v>
      </c>
      <c r="E198" s="541" t="s">
        <v>842</v>
      </c>
      <c r="F198" s="335" t="s">
        <v>679</v>
      </c>
      <c r="G198" s="104" t="s">
        <v>178</v>
      </c>
      <c r="H198" s="105" t="s">
        <v>371</v>
      </c>
      <c r="I198" s="99" t="s">
        <v>357</v>
      </c>
      <c r="J198" s="100" t="s">
        <v>366</v>
      </c>
      <c r="K198" s="99" t="s">
        <v>74</v>
      </c>
      <c r="L198" s="107">
        <v>5976000</v>
      </c>
      <c r="M198" s="101">
        <v>48110</v>
      </c>
    </row>
    <row r="199" spans="2:13" ht="15" customHeight="1" x14ac:dyDescent="0.2">
      <c r="B199" s="103" t="s">
        <v>373</v>
      </c>
      <c r="C199" s="102">
        <v>35745</v>
      </c>
      <c r="D199" s="104" t="s">
        <v>70</v>
      </c>
      <c r="E199" s="544" t="s">
        <v>1848</v>
      </c>
      <c r="F199" s="105" t="s">
        <v>11</v>
      </c>
      <c r="G199" s="104" t="s">
        <v>36</v>
      </c>
      <c r="H199" s="105" t="s">
        <v>369</v>
      </c>
      <c r="I199" s="99" t="s">
        <v>357</v>
      </c>
      <c r="J199" s="100" t="s">
        <v>366</v>
      </c>
      <c r="K199" s="99" t="s">
        <v>74</v>
      </c>
      <c r="L199" s="107">
        <v>5677000</v>
      </c>
      <c r="M199" s="101">
        <v>45700</v>
      </c>
    </row>
    <row r="200" spans="2:13" ht="15" customHeight="1" x14ac:dyDescent="0.2">
      <c r="B200" s="103" t="s">
        <v>376</v>
      </c>
      <c r="C200" s="102">
        <v>35745</v>
      </c>
      <c r="D200" s="104" t="s">
        <v>70</v>
      </c>
      <c r="E200" s="541" t="s">
        <v>374</v>
      </c>
      <c r="F200" s="105" t="s">
        <v>21</v>
      </c>
      <c r="G200" s="104" t="s">
        <v>375</v>
      </c>
      <c r="H200" s="105" t="s">
        <v>365</v>
      </c>
      <c r="I200" s="99" t="s">
        <v>357</v>
      </c>
      <c r="J200" s="100" t="s">
        <v>366</v>
      </c>
      <c r="K200" s="99" t="s">
        <v>74</v>
      </c>
      <c r="L200" s="107">
        <v>9184000</v>
      </c>
      <c r="M200" s="101">
        <v>73930</v>
      </c>
    </row>
    <row r="201" spans="2:13" ht="15" customHeight="1" x14ac:dyDescent="0.2">
      <c r="B201" s="103" t="s">
        <v>378</v>
      </c>
      <c r="C201" s="102">
        <v>35763</v>
      </c>
      <c r="D201" s="104" t="s">
        <v>327</v>
      </c>
      <c r="E201" s="541" t="s">
        <v>377</v>
      </c>
      <c r="F201" s="105" t="s">
        <v>11</v>
      </c>
      <c r="G201" s="104" t="s">
        <v>248</v>
      </c>
      <c r="H201" s="516" t="s">
        <v>1886</v>
      </c>
      <c r="I201" s="99" t="s">
        <v>37</v>
      </c>
      <c r="J201" s="100" t="s">
        <v>172</v>
      </c>
      <c r="K201" s="99" t="s">
        <v>174</v>
      </c>
      <c r="L201" s="107">
        <v>15000</v>
      </c>
      <c r="M201" s="101">
        <v>8500</v>
      </c>
    </row>
    <row r="202" spans="2:13" ht="15" customHeight="1" x14ac:dyDescent="0.2">
      <c r="B202" s="103" t="s">
        <v>396</v>
      </c>
      <c r="C202" s="102">
        <v>35783</v>
      </c>
      <c r="D202" s="104" t="s">
        <v>327</v>
      </c>
      <c r="E202" s="541" t="s">
        <v>395</v>
      </c>
      <c r="F202" s="335" t="s">
        <v>384</v>
      </c>
      <c r="G202" s="104" t="s">
        <v>223</v>
      </c>
      <c r="H202" s="125">
        <v>0.02</v>
      </c>
      <c r="I202" s="99" t="s">
        <v>37</v>
      </c>
      <c r="J202" s="100" t="s">
        <v>128</v>
      </c>
      <c r="K202" s="99" t="s">
        <v>174</v>
      </c>
      <c r="L202" s="107">
        <v>14300</v>
      </c>
      <c r="M202" s="101">
        <v>8070</v>
      </c>
    </row>
    <row r="203" spans="2:13" x14ac:dyDescent="0.2">
      <c r="B203" s="103"/>
      <c r="C203" s="102"/>
      <c r="D203" s="104"/>
      <c r="E203" s="541"/>
      <c r="F203" s="105"/>
      <c r="G203" s="104"/>
      <c r="H203" s="106"/>
      <c r="I203" s="99"/>
      <c r="J203" s="100"/>
      <c r="K203" s="99"/>
      <c r="L203" s="107"/>
      <c r="M203" s="101"/>
    </row>
    <row r="204" spans="2:13" x14ac:dyDescent="0.2">
      <c r="B204" s="47" t="s">
        <v>555</v>
      </c>
      <c r="C204" s="102"/>
      <c r="D204" s="104"/>
      <c r="E204" s="541"/>
      <c r="F204" s="105"/>
      <c r="G204" s="104"/>
      <c r="H204" s="105"/>
      <c r="I204" s="99"/>
      <c r="J204" s="100"/>
      <c r="K204" s="109"/>
      <c r="L204" s="107"/>
      <c r="M204" s="110">
        <f>SUM(M205:M219)</f>
        <v>1205090</v>
      </c>
    </row>
    <row r="205" spans="2:13" ht="15" customHeight="1" x14ac:dyDescent="0.2">
      <c r="B205" s="126" t="s">
        <v>335</v>
      </c>
      <c r="C205" s="102">
        <v>35423</v>
      </c>
      <c r="D205" s="104" t="s">
        <v>333</v>
      </c>
      <c r="E205" s="541" t="s">
        <v>334</v>
      </c>
      <c r="F205" s="105" t="s">
        <v>54</v>
      </c>
      <c r="G205" s="104" t="s">
        <v>13</v>
      </c>
      <c r="H205" s="105" t="s">
        <v>333</v>
      </c>
      <c r="I205" s="99" t="s">
        <v>567</v>
      </c>
      <c r="J205" s="100" t="s">
        <v>324</v>
      </c>
      <c r="K205" s="99" t="s">
        <v>133</v>
      </c>
      <c r="L205" s="122">
        <v>160500</v>
      </c>
      <c r="M205" s="123">
        <v>221800</v>
      </c>
    </row>
    <row r="206" spans="2:13" ht="15" customHeight="1" x14ac:dyDescent="0.2">
      <c r="B206" s="103" t="s">
        <v>337</v>
      </c>
      <c r="C206" s="102">
        <v>35469</v>
      </c>
      <c r="D206" s="104" t="s">
        <v>750</v>
      </c>
      <c r="E206" s="541" t="s">
        <v>336</v>
      </c>
      <c r="F206" s="105" t="s">
        <v>54</v>
      </c>
      <c r="G206" s="104" t="s">
        <v>13</v>
      </c>
      <c r="H206" s="105" t="s">
        <v>55</v>
      </c>
      <c r="I206" s="99" t="s">
        <v>324</v>
      </c>
      <c r="J206" s="100" t="s">
        <v>325</v>
      </c>
      <c r="K206" s="99" t="s">
        <v>18</v>
      </c>
      <c r="L206" s="122">
        <v>235500</v>
      </c>
      <c r="M206" s="123">
        <v>235500</v>
      </c>
    </row>
    <row r="207" spans="2:13" ht="15" customHeight="1" x14ac:dyDescent="0.2">
      <c r="B207" s="103" t="s">
        <v>346</v>
      </c>
      <c r="C207" s="102">
        <v>35480</v>
      </c>
      <c r="D207" s="104" t="s">
        <v>751</v>
      </c>
      <c r="E207" s="541" t="s">
        <v>566</v>
      </c>
      <c r="F207" s="105" t="s">
        <v>54</v>
      </c>
      <c r="G207" s="104" t="s">
        <v>13</v>
      </c>
      <c r="H207" s="105" t="s">
        <v>116</v>
      </c>
      <c r="I207" s="99" t="s">
        <v>309</v>
      </c>
      <c r="J207" s="100" t="s">
        <v>345</v>
      </c>
      <c r="K207" s="99" t="s">
        <v>18</v>
      </c>
      <c r="L207" s="122">
        <v>183000</v>
      </c>
      <c r="M207" s="123">
        <v>183000</v>
      </c>
    </row>
    <row r="208" spans="2:13" ht="15" customHeight="1" x14ac:dyDescent="0.2">
      <c r="B208" s="103" t="s">
        <v>346</v>
      </c>
      <c r="C208" s="102">
        <v>35481</v>
      </c>
      <c r="D208" s="104" t="s">
        <v>751</v>
      </c>
      <c r="E208" s="541" t="s">
        <v>566</v>
      </c>
      <c r="F208" s="105" t="s">
        <v>54</v>
      </c>
      <c r="G208" s="104" t="s">
        <v>13</v>
      </c>
      <c r="H208" s="105" t="s">
        <v>116</v>
      </c>
      <c r="I208" s="99" t="s">
        <v>309</v>
      </c>
      <c r="J208" s="100" t="s">
        <v>345</v>
      </c>
      <c r="K208" s="99" t="s">
        <v>18</v>
      </c>
      <c r="L208" s="122">
        <v>100000</v>
      </c>
      <c r="M208" s="123">
        <v>100000</v>
      </c>
    </row>
    <row r="209" spans="2:13" ht="15" customHeight="1" x14ac:dyDescent="0.2">
      <c r="B209" s="103" t="s">
        <v>352</v>
      </c>
      <c r="C209" s="102">
        <v>35521</v>
      </c>
      <c r="D209" s="104" t="s">
        <v>752</v>
      </c>
      <c r="E209" s="541" t="s">
        <v>350</v>
      </c>
      <c r="F209" s="105" t="s">
        <v>11</v>
      </c>
      <c r="G209" s="104" t="s">
        <v>685</v>
      </c>
      <c r="H209" s="105" t="s">
        <v>116</v>
      </c>
      <c r="I209" s="99" t="s">
        <v>347</v>
      </c>
      <c r="J209" s="100" t="s">
        <v>351</v>
      </c>
      <c r="K209" s="99" t="s">
        <v>18</v>
      </c>
      <c r="L209" s="122">
        <v>51000</v>
      </c>
      <c r="M209" s="123">
        <v>51000</v>
      </c>
    </row>
    <row r="210" spans="2:13" ht="15" customHeight="1" x14ac:dyDescent="0.2">
      <c r="B210" s="103" t="s">
        <v>354</v>
      </c>
      <c r="C210" s="102">
        <v>35571</v>
      </c>
      <c r="D210" s="104" t="s">
        <v>224</v>
      </c>
      <c r="E210" s="541" t="s">
        <v>353</v>
      </c>
      <c r="F210" s="335" t="s">
        <v>679</v>
      </c>
      <c r="G210" s="104" t="s">
        <v>178</v>
      </c>
      <c r="H210" s="125">
        <v>0.04</v>
      </c>
      <c r="I210" s="99" t="s">
        <v>309</v>
      </c>
      <c r="J210" s="100" t="s">
        <v>345</v>
      </c>
      <c r="K210" s="99" t="s">
        <v>18</v>
      </c>
      <c r="L210" s="122">
        <v>5000</v>
      </c>
      <c r="M210" s="123">
        <v>5000</v>
      </c>
    </row>
    <row r="211" spans="2:13" ht="15" customHeight="1" x14ac:dyDescent="0.2">
      <c r="B211" s="103" t="s">
        <v>358</v>
      </c>
      <c r="C211" s="102">
        <v>35610</v>
      </c>
      <c r="D211" s="104" t="s">
        <v>97</v>
      </c>
      <c r="E211" s="541" t="s">
        <v>355</v>
      </c>
      <c r="F211" s="105" t="s">
        <v>384</v>
      </c>
      <c r="G211" s="104" t="s">
        <v>223</v>
      </c>
      <c r="H211" s="199" t="s">
        <v>1887</v>
      </c>
      <c r="I211" s="99" t="s">
        <v>356</v>
      </c>
      <c r="J211" s="100" t="s">
        <v>357</v>
      </c>
      <c r="K211" s="99" t="s">
        <v>18</v>
      </c>
      <c r="L211" s="107">
        <v>17100</v>
      </c>
      <c r="M211" s="101">
        <v>17100</v>
      </c>
    </row>
    <row r="212" spans="2:13" ht="15" customHeight="1" x14ac:dyDescent="0.2">
      <c r="B212" s="103" t="s">
        <v>360</v>
      </c>
      <c r="C212" s="102">
        <v>35719</v>
      </c>
      <c r="D212" s="104" t="s">
        <v>753</v>
      </c>
      <c r="E212" s="541" t="s">
        <v>359</v>
      </c>
      <c r="F212" s="105" t="s">
        <v>11</v>
      </c>
      <c r="G212" s="104" t="s">
        <v>36</v>
      </c>
      <c r="H212" s="105" t="s">
        <v>55</v>
      </c>
      <c r="I212" s="99" t="s">
        <v>309</v>
      </c>
      <c r="J212" s="100" t="s">
        <v>185</v>
      </c>
      <c r="K212" s="99" t="s">
        <v>18</v>
      </c>
      <c r="L212" s="107">
        <v>45600</v>
      </c>
      <c r="M212" s="101">
        <v>45600</v>
      </c>
    </row>
    <row r="213" spans="2:13" ht="15" customHeight="1" x14ac:dyDescent="0.2">
      <c r="B213" s="103" t="s">
        <v>362</v>
      </c>
      <c r="C213" s="102">
        <v>35742</v>
      </c>
      <c r="D213" s="104" t="s">
        <v>754</v>
      </c>
      <c r="E213" s="541" t="s">
        <v>568</v>
      </c>
      <c r="F213" s="335" t="s">
        <v>679</v>
      </c>
      <c r="G213" s="104" t="s">
        <v>361</v>
      </c>
      <c r="H213" s="105" t="s">
        <v>55</v>
      </c>
      <c r="I213" s="99" t="s">
        <v>308</v>
      </c>
      <c r="J213" s="100" t="s">
        <v>309</v>
      </c>
      <c r="K213" s="99" t="s">
        <v>18</v>
      </c>
      <c r="L213" s="107">
        <v>140</v>
      </c>
      <c r="M213" s="101">
        <v>140</v>
      </c>
    </row>
    <row r="214" spans="2:13" ht="15" customHeight="1" x14ac:dyDescent="0.2">
      <c r="B214" s="103" t="s">
        <v>382</v>
      </c>
      <c r="C214" s="102">
        <v>35775</v>
      </c>
      <c r="D214" s="104" t="s">
        <v>755</v>
      </c>
      <c r="E214" s="541" t="s">
        <v>379</v>
      </c>
      <c r="F214" s="105" t="s">
        <v>380</v>
      </c>
      <c r="G214" s="104" t="s">
        <v>381</v>
      </c>
      <c r="H214" s="105" t="s">
        <v>55</v>
      </c>
      <c r="I214" s="99" t="s">
        <v>309</v>
      </c>
      <c r="J214" s="100" t="s">
        <v>185</v>
      </c>
      <c r="K214" s="99" t="s">
        <v>18</v>
      </c>
      <c r="L214" s="107"/>
      <c r="M214" s="101">
        <v>20000</v>
      </c>
    </row>
    <row r="215" spans="2:13" ht="15" customHeight="1" x14ac:dyDescent="0.2">
      <c r="B215" s="103" t="s">
        <v>387</v>
      </c>
      <c r="C215" s="102">
        <v>35776</v>
      </c>
      <c r="D215" s="104" t="s">
        <v>756</v>
      </c>
      <c r="E215" s="541" t="s">
        <v>383</v>
      </c>
      <c r="F215" s="105" t="s">
        <v>384</v>
      </c>
      <c r="G215" s="104" t="s">
        <v>13</v>
      </c>
      <c r="H215" s="105" t="s">
        <v>55</v>
      </c>
      <c r="I215" s="99" t="s">
        <v>385</v>
      </c>
      <c r="J215" s="100" t="s">
        <v>386</v>
      </c>
      <c r="K215" s="99" t="s">
        <v>18</v>
      </c>
      <c r="L215" s="107">
        <v>150000</v>
      </c>
      <c r="M215" s="101">
        <v>150000</v>
      </c>
    </row>
    <row r="216" spans="2:13" ht="15" customHeight="1" x14ac:dyDescent="0.2">
      <c r="B216" s="103" t="s">
        <v>388</v>
      </c>
      <c r="C216" s="102">
        <v>35776</v>
      </c>
      <c r="D216" s="104" t="s">
        <v>757</v>
      </c>
      <c r="E216" s="541" t="s">
        <v>383</v>
      </c>
      <c r="F216" s="105" t="s">
        <v>384</v>
      </c>
      <c r="G216" s="104" t="s">
        <v>13</v>
      </c>
      <c r="H216" s="105" t="s">
        <v>116</v>
      </c>
      <c r="I216" s="99" t="s">
        <v>309</v>
      </c>
      <c r="J216" s="100" t="s">
        <v>345</v>
      </c>
      <c r="K216" s="99" t="s">
        <v>18</v>
      </c>
      <c r="L216" s="107">
        <v>150000</v>
      </c>
      <c r="M216" s="101">
        <v>150000</v>
      </c>
    </row>
    <row r="217" spans="2:13" ht="15" customHeight="1" x14ac:dyDescent="0.2">
      <c r="B217" s="103" t="s">
        <v>390</v>
      </c>
      <c r="C217" s="102">
        <v>35779</v>
      </c>
      <c r="D217" s="104" t="s">
        <v>758</v>
      </c>
      <c r="E217" s="541" t="s">
        <v>389</v>
      </c>
      <c r="F217" s="105" t="s">
        <v>380</v>
      </c>
      <c r="G217" s="104" t="s">
        <v>381</v>
      </c>
      <c r="H217" s="105" t="s">
        <v>116</v>
      </c>
      <c r="I217" s="99" t="s">
        <v>309</v>
      </c>
      <c r="J217" s="100" t="s">
        <v>345</v>
      </c>
      <c r="K217" s="99" t="s">
        <v>18</v>
      </c>
      <c r="L217" s="107">
        <v>22500</v>
      </c>
      <c r="M217" s="101">
        <v>22500</v>
      </c>
    </row>
    <row r="218" spans="2:13" ht="15" customHeight="1" x14ac:dyDescent="0.2">
      <c r="B218" s="103" t="s">
        <v>392</v>
      </c>
      <c r="C218" s="102">
        <v>35780</v>
      </c>
      <c r="D218" s="104" t="s">
        <v>759</v>
      </c>
      <c r="E218" s="541" t="s">
        <v>569</v>
      </c>
      <c r="F218" s="105" t="s">
        <v>54</v>
      </c>
      <c r="G218" s="104" t="s">
        <v>13</v>
      </c>
      <c r="H218" s="105" t="s">
        <v>55</v>
      </c>
      <c r="I218" s="99" t="s">
        <v>391</v>
      </c>
      <c r="J218" s="100" t="s">
        <v>366</v>
      </c>
      <c r="K218" s="99" t="s">
        <v>18</v>
      </c>
      <c r="L218" s="107">
        <v>750</v>
      </c>
      <c r="M218" s="101">
        <v>750</v>
      </c>
    </row>
    <row r="219" spans="2:13" ht="15" customHeight="1" x14ac:dyDescent="0.2">
      <c r="B219" s="103" t="s">
        <v>394</v>
      </c>
      <c r="C219" s="102">
        <v>35782</v>
      </c>
      <c r="D219" s="104" t="s">
        <v>760</v>
      </c>
      <c r="E219" s="541" t="s">
        <v>570</v>
      </c>
      <c r="F219" s="105" t="s">
        <v>54</v>
      </c>
      <c r="G219" s="104" t="s">
        <v>393</v>
      </c>
      <c r="H219" s="105" t="s">
        <v>55</v>
      </c>
      <c r="I219" s="99" t="s">
        <v>385</v>
      </c>
      <c r="J219" s="100" t="s">
        <v>217</v>
      </c>
      <c r="K219" s="99" t="s">
        <v>18</v>
      </c>
      <c r="L219" s="107">
        <v>2700</v>
      </c>
      <c r="M219" s="101">
        <v>2700</v>
      </c>
    </row>
    <row r="220" spans="2:13" x14ac:dyDescent="0.2">
      <c r="B220" s="103"/>
      <c r="C220" s="102"/>
      <c r="D220" s="104"/>
      <c r="E220" s="541"/>
      <c r="F220" s="105"/>
      <c r="G220" s="104"/>
      <c r="H220" s="105"/>
      <c r="I220" s="99"/>
      <c r="J220" s="100"/>
      <c r="K220" s="99"/>
      <c r="L220" s="107"/>
      <c r="M220" s="101"/>
    </row>
    <row r="221" spans="2:13" x14ac:dyDescent="0.2">
      <c r="B221" s="47" t="s">
        <v>702</v>
      </c>
      <c r="C221" s="102"/>
      <c r="D221" s="104"/>
      <c r="E221" s="541"/>
      <c r="F221" s="105"/>
      <c r="G221" s="104"/>
      <c r="H221" s="105"/>
      <c r="I221" s="99"/>
      <c r="J221" s="100"/>
      <c r="K221" s="109"/>
      <c r="L221" s="107"/>
      <c r="M221" s="110">
        <f>SUM(M222)</f>
        <v>16407</v>
      </c>
    </row>
    <row r="222" spans="2:13" ht="15" customHeight="1" thickBot="1" x14ac:dyDescent="0.25">
      <c r="B222" s="127" t="s">
        <v>343</v>
      </c>
      <c r="C222" s="111">
        <v>35474</v>
      </c>
      <c r="D222" s="112" t="s">
        <v>338</v>
      </c>
      <c r="E222" s="542" t="s">
        <v>339</v>
      </c>
      <c r="F222" s="331" t="s">
        <v>384</v>
      </c>
      <c r="G222" s="112" t="s">
        <v>200</v>
      </c>
      <c r="H222" s="129" t="s">
        <v>340</v>
      </c>
      <c r="I222" s="113" t="s">
        <v>341</v>
      </c>
      <c r="J222" s="114" t="s">
        <v>342</v>
      </c>
      <c r="K222" s="113" t="s">
        <v>344</v>
      </c>
      <c r="L222" s="130">
        <v>16407</v>
      </c>
      <c r="M222" s="116">
        <v>16407</v>
      </c>
    </row>
    <row r="223" spans="2:13" ht="15" customHeight="1" thickTop="1" x14ac:dyDescent="0.2">
      <c r="B223" s="480"/>
      <c r="C223" s="223"/>
      <c r="D223" s="32"/>
      <c r="E223" s="526"/>
      <c r="F223" s="504"/>
      <c r="G223" s="32"/>
      <c r="H223" s="33"/>
      <c r="I223" s="34"/>
      <c r="J223" s="35"/>
      <c r="K223" s="34"/>
      <c r="L223" s="481"/>
      <c r="M223" s="478"/>
    </row>
    <row r="224" spans="2:13" s="46" customFormat="1" ht="18" x14ac:dyDescent="0.2">
      <c r="B224" s="117">
        <v>1998</v>
      </c>
      <c r="C224" s="479"/>
      <c r="D224" s="476"/>
      <c r="E224" s="543"/>
      <c r="F224" s="118"/>
      <c r="G224" s="477"/>
      <c r="H224" s="118"/>
      <c r="I224" s="119"/>
      <c r="J224" s="120"/>
      <c r="K224" s="41"/>
      <c r="L224" s="131"/>
      <c r="M224" s="132">
        <f>+M225+M229+M238+M245</f>
        <v>476619.30700000003</v>
      </c>
    </row>
    <row r="225" spans="2:13" x14ac:dyDescent="0.2">
      <c r="B225" s="47" t="s">
        <v>553</v>
      </c>
      <c r="C225" s="121"/>
      <c r="D225" s="104"/>
      <c r="E225" s="541"/>
      <c r="F225" s="105"/>
      <c r="G225" s="104"/>
      <c r="H225" s="105"/>
      <c r="I225" s="99"/>
      <c r="J225" s="100"/>
      <c r="K225" s="109"/>
      <c r="L225" s="107"/>
      <c r="M225" s="110">
        <f>SUM(M226:M227)</f>
        <v>14394.306999999999</v>
      </c>
    </row>
    <row r="226" spans="2:13" ht="15" customHeight="1" x14ac:dyDescent="0.2">
      <c r="B226" s="133" t="s">
        <v>548</v>
      </c>
      <c r="C226" s="134">
        <v>36160</v>
      </c>
      <c r="D226" s="137" t="s">
        <v>547</v>
      </c>
      <c r="E226" s="545" t="s">
        <v>25</v>
      </c>
      <c r="F226" s="309" t="s">
        <v>26</v>
      </c>
      <c r="G226" s="137" t="s">
        <v>545</v>
      </c>
      <c r="H226" s="199" t="s">
        <v>1888</v>
      </c>
      <c r="I226" s="141" t="s">
        <v>462</v>
      </c>
      <c r="J226" s="142" t="s">
        <v>463</v>
      </c>
      <c r="K226" s="141" t="s">
        <v>18</v>
      </c>
      <c r="L226" s="143">
        <v>12625.282999999999</v>
      </c>
      <c r="M226" s="144">
        <f>+L226</f>
        <v>12625.282999999999</v>
      </c>
    </row>
    <row r="227" spans="2:13" ht="15" customHeight="1" x14ac:dyDescent="0.2">
      <c r="B227" s="133" t="s">
        <v>548</v>
      </c>
      <c r="C227" s="134">
        <v>36160</v>
      </c>
      <c r="D227" s="137" t="s">
        <v>547</v>
      </c>
      <c r="E227" s="545" t="s">
        <v>25</v>
      </c>
      <c r="F227" s="309" t="s">
        <v>26</v>
      </c>
      <c r="G227" s="137" t="s">
        <v>545</v>
      </c>
      <c r="H227" s="199" t="s">
        <v>1888</v>
      </c>
      <c r="I227" s="141" t="s">
        <v>462</v>
      </c>
      <c r="J227" s="142" t="s">
        <v>463</v>
      </c>
      <c r="K227" s="141" t="s">
        <v>18</v>
      </c>
      <c r="L227" s="143">
        <v>1769.0239999999999</v>
      </c>
      <c r="M227" s="144">
        <f>+L227</f>
        <v>1769.0239999999999</v>
      </c>
    </row>
    <row r="228" spans="2:13" x14ac:dyDescent="0.2">
      <c r="B228" s="133"/>
      <c r="C228" s="134"/>
      <c r="D228" s="137"/>
      <c r="E228" s="545"/>
      <c r="F228" s="309"/>
      <c r="G228" s="137"/>
      <c r="H228" s="140"/>
      <c r="I228" s="141"/>
      <c r="J228" s="142"/>
      <c r="K228" s="141"/>
      <c r="L228" s="143"/>
      <c r="M228" s="144"/>
    </row>
    <row r="229" spans="2:13" x14ac:dyDescent="0.2">
      <c r="B229" s="47" t="s">
        <v>701</v>
      </c>
      <c r="C229" s="102"/>
      <c r="D229" s="104"/>
      <c r="E229" s="541"/>
      <c r="F229" s="105"/>
      <c r="G229" s="104"/>
      <c r="H229" s="105"/>
      <c r="I229" s="99"/>
      <c r="J229" s="100"/>
      <c r="K229" s="109"/>
      <c r="L229" s="107"/>
      <c r="M229" s="110">
        <f>SUM(M230:M236)</f>
        <v>85846</v>
      </c>
    </row>
    <row r="230" spans="2:13" ht="15" customHeight="1" x14ac:dyDescent="0.2">
      <c r="B230" s="133" t="s">
        <v>469</v>
      </c>
      <c r="C230" s="134">
        <v>35883</v>
      </c>
      <c r="D230" s="137" t="s">
        <v>327</v>
      </c>
      <c r="E230" s="544" t="s">
        <v>1849</v>
      </c>
      <c r="F230" s="140" t="s">
        <v>141</v>
      </c>
      <c r="G230" s="137" t="s">
        <v>142</v>
      </c>
      <c r="H230" s="145">
        <v>0.02</v>
      </c>
      <c r="I230" s="141" t="s">
        <v>37</v>
      </c>
      <c r="J230" s="142" t="s">
        <v>128</v>
      </c>
      <c r="K230" s="141" t="s">
        <v>174</v>
      </c>
      <c r="L230" s="143">
        <v>15000</v>
      </c>
      <c r="M230" s="144">
        <v>8243</v>
      </c>
    </row>
    <row r="231" spans="2:13" ht="15" customHeight="1" x14ac:dyDescent="0.2">
      <c r="B231" s="133" t="s">
        <v>475</v>
      </c>
      <c r="C231" s="134">
        <v>36007</v>
      </c>
      <c r="D231" s="137" t="s">
        <v>470</v>
      </c>
      <c r="E231" s="545" t="s">
        <v>472</v>
      </c>
      <c r="F231" s="140" t="s">
        <v>11</v>
      </c>
      <c r="G231" s="137" t="s">
        <v>473</v>
      </c>
      <c r="H231" s="199" t="s">
        <v>684</v>
      </c>
      <c r="I231" s="141" t="s">
        <v>309</v>
      </c>
      <c r="J231" s="142" t="s">
        <v>474</v>
      </c>
      <c r="K231" s="141" t="s">
        <v>18</v>
      </c>
      <c r="L231" s="143">
        <v>10000</v>
      </c>
      <c r="M231" s="144">
        <v>10000</v>
      </c>
    </row>
    <row r="232" spans="2:13" ht="15" customHeight="1" x14ac:dyDescent="0.2">
      <c r="B232" s="133" t="s">
        <v>485</v>
      </c>
      <c r="C232" s="134">
        <v>36074</v>
      </c>
      <c r="D232" s="137" t="s">
        <v>327</v>
      </c>
      <c r="E232" s="545" t="s">
        <v>484</v>
      </c>
      <c r="F232" s="140" t="s">
        <v>21</v>
      </c>
      <c r="G232" s="137" t="s">
        <v>681</v>
      </c>
      <c r="H232" s="145">
        <v>0.02</v>
      </c>
      <c r="I232" s="141" t="s">
        <v>37</v>
      </c>
      <c r="J232" s="142" t="s">
        <v>128</v>
      </c>
      <c r="K232" s="141" t="s">
        <v>174</v>
      </c>
      <c r="L232" s="143">
        <v>20000</v>
      </c>
      <c r="M232" s="144">
        <v>12250</v>
      </c>
    </row>
    <row r="233" spans="2:13" ht="15" customHeight="1" x14ac:dyDescent="0.2">
      <c r="B233" s="133" t="s">
        <v>487</v>
      </c>
      <c r="C233" s="134">
        <v>36078</v>
      </c>
      <c r="D233" s="137" t="s">
        <v>136</v>
      </c>
      <c r="E233" s="545" t="s">
        <v>486</v>
      </c>
      <c r="F233" s="140" t="s">
        <v>141</v>
      </c>
      <c r="G233" s="137" t="s">
        <v>142</v>
      </c>
      <c r="H233" s="145">
        <v>2.9000000000000001E-2</v>
      </c>
      <c r="I233" s="141" t="s">
        <v>491</v>
      </c>
      <c r="J233" s="142" t="s">
        <v>492</v>
      </c>
      <c r="K233" s="141" t="s">
        <v>488</v>
      </c>
      <c r="L233" s="143">
        <v>8900</v>
      </c>
      <c r="M233" s="144">
        <v>1643</v>
      </c>
    </row>
    <row r="234" spans="2:13" ht="15" customHeight="1" x14ac:dyDescent="0.2">
      <c r="B234" s="133" t="s">
        <v>487</v>
      </c>
      <c r="C234" s="134">
        <v>36078</v>
      </c>
      <c r="D234" s="137" t="s">
        <v>136</v>
      </c>
      <c r="E234" s="545" t="s">
        <v>489</v>
      </c>
      <c r="F234" s="140" t="s">
        <v>141</v>
      </c>
      <c r="G234" s="137" t="s">
        <v>142</v>
      </c>
      <c r="H234" s="145">
        <v>2.9000000000000001E-2</v>
      </c>
      <c r="I234" s="141" t="s">
        <v>491</v>
      </c>
      <c r="J234" s="142" t="s">
        <v>492</v>
      </c>
      <c r="K234" s="141" t="s">
        <v>488</v>
      </c>
      <c r="L234" s="143">
        <v>19900</v>
      </c>
      <c r="M234" s="144">
        <v>3673</v>
      </c>
    </row>
    <row r="235" spans="2:13" ht="15" customHeight="1" x14ac:dyDescent="0.2">
      <c r="B235" s="133" t="s">
        <v>487</v>
      </c>
      <c r="C235" s="134">
        <v>36078</v>
      </c>
      <c r="D235" s="137" t="s">
        <v>136</v>
      </c>
      <c r="E235" s="545" t="s">
        <v>490</v>
      </c>
      <c r="F235" s="140" t="s">
        <v>141</v>
      </c>
      <c r="G235" s="137" t="s">
        <v>142</v>
      </c>
      <c r="H235" s="145">
        <v>2.9000000000000001E-2</v>
      </c>
      <c r="I235" s="141" t="s">
        <v>491</v>
      </c>
      <c r="J235" s="142" t="s">
        <v>492</v>
      </c>
      <c r="K235" s="141" t="s">
        <v>488</v>
      </c>
      <c r="L235" s="143">
        <v>200</v>
      </c>
      <c r="M235" s="144">
        <v>37</v>
      </c>
    </row>
    <row r="236" spans="2:13" ht="15" customHeight="1" x14ac:dyDescent="0.2">
      <c r="B236" s="133" t="s">
        <v>500</v>
      </c>
      <c r="C236" s="134">
        <v>36158</v>
      </c>
      <c r="D236" s="137" t="s">
        <v>434</v>
      </c>
      <c r="E236" s="545" t="s">
        <v>498</v>
      </c>
      <c r="F236" s="140" t="s">
        <v>11</v>
      </c>
      <c r="G236" s="137" t="s">
        <v>499</v>
      </c>
      <c r="H236" s="140" t="s">
        <v>340</v>
      </c>
      <c r="I236" s="141" t="s">
        <v>462</v>
      </c>
      <c r="J236" s="142" t="s">
        <v>165</v>
      </c>
      <c r="K236" s="141" t="s">
        <v>18</v>
      </c>
      <c r="L236" s="143">
        <v>50000</v>
      </c>
      <c r="M236" s="144">
        <v>50000</v>
      </c>
    </row>
    <row r="237" spans="2:13" x14ac:dyDescent="0.2">
      <c r="B237" s="133"/>
      <c r="C237" s="134"/>
      <c r="D237" s="137"/>
      <c r="E237" s="545"/>
      <c r="F237" s="140"/>
      <c r="G237" s="137"/>
      <c r="H237" s="140"/>
      <c r="I237" s="141"/>
      <c r="J237" s="142"/>
      <c r="K237" s="141"/>
      <c r="L237" s="143"/>
      <c r="M237" s="144"/>
    </row>
    <row r="238" spans="2:13" x14ac:dyDescent="0.2">
      <c r="B238" s="47" t="s">
        <v>555</v>
      </c>
      <c r="C238" s="102"/>
      <c r="D238" s="104"/>
      <c r="E238" s="541"/>
      <c r="F238" s="105"/>
      <c r="G238" s="104"/>
      <c r="H238" s="105"/>
      <c r="I238" s="99"/>
      <c r="J238" s="100"/>
      <c r="K238" s="109"/>
      <c r="L238" s="107"/>
      <c r="M238" s="110">
        <f>SUM(M239:M243)</f>
        <v>374700</v>
      </c>
    </row>
    <row r="239" spans="2:13" ht="15" customHeight="1" x14ac:dyDescent="0.2">
      <c r="B239" s="133" t="s">
        <v>479</v>
      </c>
      <c r="C239" s="134">
        <v>36040</v>
      </c>
      <c r="D239" s="137" t="s">
        <v>761</v>
      </c>
      <c r="E239" s="545" t="s">
        <v>476</v>
      </c>
      <c r="F239" s="140" t="s">
        <v>54</v>
      </c>
      <c r="G239" s="137" t="s">
        <v>477</v>
      </c>
      <c r="H239" s="140" t="s">
        <v>55</v>
      </c>
      <c r="I239" s="141" t="s">
        <v>308</v>
      </c>
      <c r="J239" s="142" t="s">
        <v>478</v>
      </c>
      <c r="K239" s="141" t="s">
        <v>18</v>
      </c>
      <c r="L239" s="143">
        <v>1500</v>
      </c>
      <c r="M239" s="144">
        <v>1500</v>
      </c>
    </row>
    <row r="240" spans="2:13" s="53" customFormat="1" ht="15" customHeight="1" x14ac:dyDescent="0.2">
      <c r="B240" s="133" t="s">
        <v>482</v>
      </c>
      <c r="C240" s="134">
        <v>36070</v>
      </c>
      <c r="D240" s="137" t="s">
        <v>762</v>
      </c>
      <c r="E240" s="545" t="s">
        <v>480</v>
      </c>
      <c r="F240" s="140" t="s">
        <v>21</v>
      </c>
      <c r="G240" s="137" t="s">
        <v>481</v>
      </c>
      <c r="H240" s="140" t="s">
        <v>116</v>
      </c>
      <c r="I240" s="141" t="s">
        <v>309</v>
      </c>
      <c r="J240" s="142" t="s">
        <v>345</v>
      </c>
      <c r="K240" s="141" t="s">
        <v>18</v>
      </c>
      <c r="L240" s="143">
        <v>38000</v>
      </c>
      <c r="M240" s="144">
        <v>38000</v>
      </c>
    </row>
    <row r="241" spans="2:13" ht="15" customHeight="1" x14ac:dyDescent="0.2">
      <c r="B241" s="133" t="s">
        <v>483</v>
      </c>
      <c r="C241" s="134">
        <v>36070</v>
      </c>
      <c r="D241" s="137" t="s">
        <v>763</v>
      </c>
      <c r="E241" s="545" t="s">
        <v>695</v>
      </c>
      <c r="F241" s="140" t="s">
        <v>54</v>
      </c>
      <c r="G241" s="137" t="s">
        <v>69</v>
      </c>
      <c r="H241" s="140" t="s">
        <v>55</v>
      </c>
      <c r="I241" s="141" t="s">
        <v>385</v>
      </c>
      <c r="J241" s="142" t="s">
        <v>386</v>
      </c>
      <c r="K241" s="141" t="s">
        <v>18</v>
      </c>
      <c r="L241" s="143">
        <v>30000</v>
      </c>
      <c r="M241" s="144">
        <v>30000</v>
      </c>
    </row>
    <row r="242" spans="2:13" ht="15" customHeight="1" x14ac:dyDescent="0.2">
      <c r="B242" s="133" t="s">
        <v>495</v>
      </c>
      <c r="C242" s="134">
        <v>36133</v>
      </c>
      <c r="D242" s="137" t="s">
        <v>97</v>
      </c>
      <c r="E242" s="545" t="s">
        <v>493</v>
      </c>
      <c r="F242" s="140" t="s">
        <v>21</v>
      </c>
      <c r="G242" s="137" t="s">
        <v>681</v>
      </c>
      <c r="H242" s="199" t="s">
        <v>1889</v>
      </c>
      <c r="I242" s="141" t="s">
        <v>494</v>
      </c>
      <c r="J242" s="142" t="s">
        <v>412</v>
      </c>
      <c r="K242" s="141" t="s">
        <v>18</v>
      </c>
      <c r="L242" s="143">
        <v>5200</v>
      </c>
      <c r="M242" s="144">
        <v>5200</v>
      </c>
    </row>
    <row r="243" spans="2:13" ht="15" customHeight="1" x14ac:dyDescent="0.2">
      <c r="B243" s="133" t="s">
        <v>496</v>
      </c>
      <c r="C243" s="134">
        <v>36157</v>
      </c>
      <c r="D243" s="137" t="s">
        <v>764</v>
      </c>
      <c r="E243" s="545" t="s">
        <v>497</v>
      </c>
      <c r="F243" s="140" t="s">
        <v>21</v>
      </c>
      <c r="G243" s="137" t="s">
        <v>681</v>
      </c>
      <c r="H243" s="140" t="s">
        <v>55</v>
      </c>
      <c r="I243" s="141" t="s">
        <v>309</v>
      </c>
      <c r="J243" s="142" t="s">
        <v>185</v>
      </c>
      <c r="K243" s="141" t="s">
        <v>18</v>
      </c>
      <c r="L243" s="143">
        <v>300000</v>
      </c>
      <c r="M243" s="144">
        <v>300000</v>
      </c>
    </row>
    <row r="244" spans="2:13" x14ac:dyDescent="0.2">
      <c r="B244" s="133"/>
      <c r="C244" s="134"/>
      <c r="D244" s="137"/>
      <c r="E244" s="545"/>
      <c r="F244" s="140"/>
      <c r="G244" s="137"/>
      <c r="H244" s="140"/>
      <c r="I244" s="141"/>
      <c r="J244" s="142"/>
      <c r="K244" s="141"/>
      <c r="L244" s="143"/>
      <c r="M244" s="144"/>
    </row>
    <row r="245" spans="2:13" x14ac:dyDescent="0.2">
      <c r="B245" s="47" t="s">
        <v>221</v>
      </c>
      <c r="C245" s="102"/>
      <c r="D245" s="104"/>
      <c r="E245" s="541"/>
      <c r="F245" s="105"/>
      <c r="G245" s="104"/>
      <c r="H245" s="105"/>
      <c r="I245" s="99"/>
      <c r="J245" s="100"/>
      <c r="K245" s="109"/>
      <c r="L245" s="107"/>
      <c r="M245" s="110">
        <f>SUM(M246)</f>
        <v>1679</v>
      </c>
    </row>
    <row r="246" spans="2:13" ht="15" customHeight="1" thickBot="1" x14ac:dyDescent="0.25">
      <c r="B246" s="146" t="s">
        <v>546</v>
      </c>
      <c r="C246" s="147">
        <v>36158</v>
      </c>
      <c r="D246" s="149" t="s">
        <v>501</v>
      </c>
      <c r="E246" s="546" t="s">
        <v>25</v>
      </c>
      <c r="F246" s="299" t="s">
        <v>26</v>
      </c>
      <c r="G246" s="149" t="s">
        <v>545</v>
      </c>
      <c r="H246" s="150">
        <v>7.0000000000000007E-2</v>
      </c>
      <c r="I246" s="151" t="s">
        <v>408</v>
      </c>
      <c r="J246" s="152" t="s">
        <v>309</v>
      </c>
      <c r="K246" s="151" t="s">
        <v>18</v>
      </c>
      <c r="L246" s="153">
        <v>1679</v>
      </c>
      <c r="M246" s="154">
        <v>1679</v>
      </c>
    </row>
    <row r="247" spans="2:13" ht="15" customHeight="1" thickTop="1" x14ac:dyDescent="0.2">
      <c r="B247" s="483"/>
      <c r="C247" s="484"/>
      <c r="D247" s="486"/>
      <c r="E247" s="547"/>
      <c r="F247" s="622"/>
      <c r="G247" s="486"/>
      <c r="H247" s="487"/>
      <c r="I247" s="488"/>
      <c r="J247" s="489"/>
      <c r="K247" s="488"/>
      <c r="L247" s="490"/>
      <c r="M247" s="268"/>
    </row>
    <row r="248" spans="2:13" s="46" customFormat="1" ht="18" x14ac:dyDescent="0.2">
      <c r="B248" s="117">
        <v>1999</v>
      </c>
      <c r="C248" s="482"/>
      <c r="D248" s="476"/>
      <c r="E248" s="543"/>
      <c r="F248" s="118"/>
      <c r="G248" s="477"/>
      <c r="H248" s="118"/>
      <c r="I248" s="119"/>
      <c r="J248" s="120"/>
      <c r="K248" s="41"/>
      <c r="L248" s="131"/>
      <c r="M248" s="132">
        <f>+M249+M254+M257+M272+M285+M288</f>
        <v>2226027.23954</v>
      </c>
    </row>
    <row r="249" spans="2:13" x14ac:dyDescent="0.2">
      <c r="B249" s="47" t="s">
        <v>705</v>
      </c>
      <c r="C249" s="102"/>
      <c r="D249" s="104"/>
      <c r="E249" s="541"/>
      <c r="F249" s="105"/>
      <c r="G249" s="104"/>
      <c r="H249" s="105"/>
      <c r="I249" s="99"/>
      <c r="J249" s="100"/>
      <c r="K249" s="109"/>
      <c r="L249" s="107"/>
      <c r="M249" s="110">
        <f>SUM(M250:M252)</f>
        <v>33167.239540000002</v>
      </c>
    </row>
    <row r="250" spans="2:13" ht="15" customHeight="1" x14ac:dyDescent="0.2">
      <c r="B250" s="133" t="s">
        <v>413</v>
      </c>
      <c r="C250" s="134">
        <v>36217</v>
      </c>
      <c r="D250" s="137" t="s">
        <v>410</v>
      </c>
      <c r="E250" s="545" t="s">
        <v>411</v>
      </c>
      <c r="F250" s="140" t="s">
        <v>21</v>
      </c>
      <c r="G250" s="155" t="s">
        <v>81</v>
      </c>
      <c r="H250" s="140" t="s">
        <v>616</v>
      </c>
      <c r="I250" s="141" t="s">
        <v>617</v>
      </c>
      <c r="J250" s="142" t="s">
        <v>412</v>
      </c>
      <c r="K250" s="141" t="s">
        <v>18</v>
      </c>
      <c r="L250" s="143">
        <f>4512.585</f>
        <v>4512.585</v>
      </c>
      <c r="M250" s="144">
        <v>4513</v>
      </c>
    </row>
    <row r="251" spans="2:13" ht="15" customHeight="1" x14ac:dyDescent="0.2">
      <c r="B251" s="133" t="s">
        <v>446</v>
      </c>
      <c r="C251" s="134">
        <v>36349</v>
      </c>
      <c r="D251" s="137" t="s">
        <v>445</v>
      </c>
      <c r="E251" s="545" t="s">
        <v>411</v>
      </c>
      <c r="F251" s="140" t="s">
        <v>21</v>
      </c>
      <c r="G251" s="155" t="s">
        <v>81</v>
      </c>
      <c r="H251" s="199" t="s">
        <v>1890</v>
      </c>
      <c r="I251" s="141" t="s">
        <v>617</v>
      </c>
      <c r="J251" s="142" t="s">
        <v>412</v>
      </c>
      <c r="K251" s="141" t="s">
        <v>18</v>
      </c>
      <c r="L251" s="143">
        <f>1999.23954</f>
        <v>1999.23954</v>
      </c>
      <c r="M251" s="144">
        <f>+L251</f>
        <v>1999.23954</v>
      </c>
    </row>
    <row r="252" spans="2:13" ht="15" customHeight="1" x14ac:dyDescent="0.2">
      <c r="B252" s="133" t="s">
        <v>665</v>
      </c>
      <c r="C252" s="134">
        <v>36497</v>
      </c>
      <c r="D252" s="137" t="s">
        <v>615</v>
      </c>
      <c r="E252" s="545" t="s">
        <v>683</v>
      </c>
      <c r="F252" s="309" t="s">
        <v>384</v>
      </c>
      <c r="G252" s="137" t="s">
        <v>223</v>
      </c>
      <c r="H252" s="140" t="s">
        <v>616</v>
      </c>
      <c r="I252" s="141" t="s">
        <v>494</v>
      </c>
      <c r="J252" s="142" t="s">
        <v>618</v>
      </c>
      <c r="K252" s="136" t="s">
        <v>552</v>
      </c>
      <c r="L252" s="143">
        <v>26655</v>
      </c>
      <c r="M252" s="144">
        <v>26655</v>
      </c>
    </row>
    <row r="253" spans="2:13" x14ac:dyDescent="0.2">
      <c r="B253" s="133"/>
      <c r="C253" s="134"/>
      <c r="D253" s="137"/>
      <c r="E253" s="545"/>
      <c r="F253" s="309"/>
      <c r="G253" s="137"/>
      <c r="H253" s="140"/>
      <c r="I253" s="141"/>
      <c r="J253" s="142"/>
      <c r="K253" s="136"/>
      <c r="L253" s="143"/>
      <c r="M253" s="144"/>
    </row>
    <row r="254" spans="2:13" x14ac:dyDescent="0.2">
      <c r="B254" s="47" t="s">
        <v>553</v>
      </c>
      <c r="C254" s="102"/>
      <c r="D254" s="104"/>
      <c r="E254" s="541"/>
      <c r="F254" s="105"/>
      <c r="G254" s="104"/>
      <c r="H254" s="105"/>
      <c r="I254" s="99"/>
      <c r="J254" s="100"/>
      <c r="K254" s="109"/>
      <c r="L254" s="107"/>
      <c r="M254" s="110">
        <f>+M255</f>
        <v>1403</v>
      </c>
    </row>
    <row r="255" spans="2:13" x14ac:dyDescent="0.2">
      <c r="B255" s="133" t="s">
        <v>460</v>
      </c>
      <c r="C255" s="134">
        <v>36422</v>
      </c>
      <c r="D255" s="137" t="s">
        <v>457</v>
      </c>
      <c r="E255" s="548" t="s">
        <v>458</v>
      </c>
      <c r="F255" s="309" t="s">
        <v>680</v>
      </c>
      <c r="G255" s="137" t="s">
        <v>686</v>
      </c>
      <c r="H255" s="156">
        <v>0.08</v>
      </c>
      <c r="I255" s="141" t="s">
        <v>459</v>
      </c>
      <c r="J255" s="142" t="s">
        <v>823</v>
      </c>
      <c r="K255" s="141" t="s">
        <v>18</v>
      </c>
      <c r="L255" s="143">
        <v>1403</v>
      </c>
      <c r="M255" s="144">
        <v>1403</v>
      </c>
    </row>
    <row r="256" spans="2:13" x14ac:dyDescent="0.2">
      <c r="B256" s="133"/>
      <c r="C256" s="134"/>
      <c r="D256" s="137"/>
      <c r="E256" s="548"/>
      <c r="F256" s="309"/>
      <c r="G256" s="137"/>
      <c r="H256" s="156"/>
      <c r="I256" s="141"/>
      <c r="J256" s="142"/>
      <c r="K256" s="141"/>
      <c r="L256" s="143"/>
      <c r="M256" s="144"/>
    </row>
    <row r="257" spans="2:13" x14ac:dyDescent="0.2">
      <c r="B257" s="47" t="s">
        <v>701</v>
      </c>
      <c r="C257" s="102"/>
      <c r="D257" s="104"/>
      <c r="E257" s="541"/>
      <c r="F257" s="105"/>
      <c r="G257" s="104"/>
      <c r="H257" s="105"/>
      <c r="I257" s="99"/>
      <c r="J257" s="100"/>
      <c r="K257" s="109"/>
      <c r="L257" s="107"/>
      <c r="M257" s="110">
        <f>SUM(M258:M270)</f>
        <v>1193400</v>
      </c>
    </row>
    <row r="258" spans="2:13" ht="15" customHeight="1" x14ac:dyDescent="0.2">
      <c r="B258" s="133" t="s">
        <v>418</v>
      </c>
      <c r="C258" s="134">
        <v>36258</v>
      </c>
      <c r="D258" s="137" t="s">
        <v>70</v>
      </c>
      <c r="E258" s="545" t="s">
        <v>416</v>
      </c>
      <c r="F258" s="140" t="s">
        <v>11</v>
      </c>
      <c r="G258" s="137" t="s">
        <v>417</v>
      </c>
      <c r="H258" s="516" t="s">
        <v>1891</v>
      </c>
      <c r="I258" s="141" t="s">
        <v>862</v>
      </c>
      <c r="J258" s="142" t="s">
        <v>592</v>
      </c>
      <c r="K258" s="141" t="s">
        <v>74</v>
      </c>
      <c r="L258" s="143">
        <v>7259000</v>
      </c>
      <c r="M258" s="144">
        <v>59790</v>
      </c>
    </row>
    <row r="259" spans="2:13" ht="15" customHeight="1" x14ac:dyDescent="0.2">
      <c r="B259" s="133" t="s">
        <v>419</v>
      </c>
      <c r="C259" s="134">
        <v>36258</v>
      </c>
      <c r="D259" s="137" t="s">
        <v>70</v>
      </c>
      <c r="E259" s="544" t="s">
        <v>1868</v>
      </c>
      <c r="F259" s="140" t="s">
        <v>88</v>
      </c>
      <c r="G259" s="137" t="s">
        <v>688</v>
      </c>
      <c r="H259" s="516" t="s">
        <v>1892</v>
      </c>
      <c r="I259" s="141" t="s">
        <v>862</v>
      </c>
      <c r="J259" s="142" t="s">
        <v>592</v>
      </c>
      <c r="K259" s="141" t="s">
        <v>74</v>
      </c>
      <c r="L259" s="143">
        <v>13901000</v>
      </c>
      <c r="M259" s="144">
        <v>114500</v>
      </c>
    </row>
    <row r="260" spans="2:13" ht="15" customHeight="1" x14ac:dyDescent="0.2">
      <c r="B260" s="133" t="s">
        <v>421</v>
      </c>
      <c r="C260" s="134">
        <v>36258</v>
      </c>
      <c r="D260" s="137" t="s">
        <v>70</v>
      </c>
      <c r="E260" s="545" t="s">
        <v>420</v>
      </c>
      <c r="F260" s="140" t="s">
        <v>384</v>
      </c>
      <c r="G260" s="137" t="s">
        <v>178</v>
      </c>
      <c r="H260" s="145">
        <v>1.7000000000000001E-2</v>
      </c>
      <c r="I260" s="141" t="s">
        <v>357</v>
      </c>
      <c r="J260" s="142" t="s">
        <v>366</v>
      </c>
      <c r="K260" s="141" t="s">
        <v>74</v>
      </c>
      <c r="L260" s="143">
        <v>7003000</v>
      </c>
      <c r="M260" s="144">
        <v>57690</v>
      </c>
    </row>
    <row r="261" spans="2:13" ht="15" customHeight="1" x14ac:dyDescent="0.2">
      <c r="B261" s="133" t="s">
        <v>423</v>
      </c>
      <c r="C261" s="134">
        <v>36258</v>
      </c>
      <c r="D261" s="137" t="s">
        <v>70</v>
      </c>
      <c r="E261" s="545" t="s">
        <v>422</v>
      </c>
      <c r="F261" s="309" t="s">
        <v>64</v>
      </c>
      <c r="G261" s="137" t="s">
        <v>156</v>
      </c>
      <c r="H261" s="516" t="s">
        <v>1893</v>
      </c>
      <c r="I261" s="141" t="s">
        <v>862</v>
      </c>
      <c r="J261" s="142" t="s">
        <v>592</v>
      </c>
      <c r="K261" s="141" t="s">
        <v>74</v>
      </c>
      <c r="L261" s="143">
        <v>13157000</v>
      </c>
      <c r="M261" s="144">
        <v>108380</v>
      </c>
    </row>
    <row r="262" spans="2:13" ht="15" customHeight="1" x14ac:dyDescent="0.2">
      <c r="B262" s="133" t="s">
        <v>425</v>
      </c>
      <c r="C262" s="134">
        <v>36258</v>
      </c>
      <c r="D262" s="137" t="s">
        <v>70</v>
      </c>
      <c r="E262" s="545" t="s">
        <v>424</v>
      </c>
      <c r="F262" s="140" t="s">
        <v>21</v>
      </c>
      <c r="G262" s="155" t="s">
        <v>81</v>
      </c>
      <c r="H262" s="516" t="s">
        <v>1893</v>
      </c>
      <c r="I262" s="141" t="s">
        <v>862</v>
      </c>
      <c r="J262" s="142" t="s">
        <v>592</v>
      </c>
      <c r="K262" s="141" t="s">
        <v>74</v>
      </c>
      <c r="L262" s="143">
        <v>15833000</v>
      </c>
      <c r="M262" s="144">
        <v>130420</v>
      </c>
    </row>
    <row r="263" spans="2:13" ht="15" customHeight="1" x14ac:dyDescent="0.2">
      <c r="B263" s="133" t="s">
        <v>427</v>
      </c>
      <c r="C263" s="134">
        <v>36266</v>
      </c>
      <c r="D263" s="137" t="s">
        <v>327</v>
      </c>
      <c r="E263" s="545" t="s">
        <v>426</v>
      </c>
      <c r="F263" s="309" t="s">
        <v>384</v>
      </c>
      <c r="G263" s="137" t="s">
        <v>223</v>
      </c>
      <c r="H263" s="145">
        <v>7.4999999999999997E-3</v>
      </c>
      <c r="I263" s="141" t="s">
        <v>37</v>
      </c>
      <c r="J263" s="142" t="s">
        <v>172</v>
      </c>
      <c r="K263" s="141" t="s">
        <v>174</v>
      </c>
      <c r="L263" s="143">
        <v>18000</v>
      </c>
      <c r="M263" s="144">
        <v>9850</v>
      </c>
    </row>
    <row r="264" spans="2:13" ht="15" customHeight="1" x14ac:dyDescent="0.2">
      <c r="B264" s="133" t="s">
        <v>430</v>
      </c>
      <c r="C264" s="134">
        <v>36271</v>
      </c>
      <c r="D264" s="137" t="s">
        <v>327</v>
      </c>
      <c r="E264" s="545" t="s">
        <v>428</v>
      </c>
      <c r="F264" s="140" t="s">
        <v>88</v>
      </c>
      <c r="G264" s="137" t="s">
        <v>429</v>
      </c>
      <c r="H264" s="145">
        <v>0.02</v>
      </c>
      <c r="I264" s="141" t="s">
        <v>37</v>
      </c>
      <c r="J264" s="142" t="s">
        <v>128</v>
      </c>
      <c r="K264" s="141" t="s">
        <v>174</v>
      </c>
      <c r="L264" s="143">
        <v>10000</v>
      </c>
      <c r="M264" s="144">
        <v>5440</v>
      </c>
    </row>
    <row r="265" spans="2:13" ht="15" customHeight="1" x14ac:dyDescent="0.2">
      <c r="B265" s="133" t="s">
        <v>435</v>
      </c>
      <c r="C265" s="134">
        <v>36293</v>
      </c>
      <c r="D265" s="137" t="s">
        <v>434</v>
      </c>
      <c r="E265" s="544" t="s">
        <v>1869</v>
      </c>
      <c r="F265" s="140" t="s">
        <v>54</v>
      </c>
      <c r="G265" s="137" t="s">
        <v>69</v>
      </c>
      <c r="H265" s="140" t="s">
        <v>434</v>
      </c>
      <c r="I265" s="141" t="s">
        <v>619</v>
      </c>
      <c r="J265" s="142" t="s">
        <v>22</v>
      </c>
      <c r="K265" s="141" t="s">
        <v>74</v>
      </c>
      <c r="L265" s="143">
        <v>5000000</v>
      </c>
      <c r="M265" s="144">
        <v>41380</v>
      </c>
    </row>
    <row r="266" spans="2:13" ht="15" customHeight="1" x14ac:dyDescent="0.2">
      <c r="B266" s="133" t="s">
        <v>438</v>
      </c>
      <c r="C266" s="134">
        <v>36308</v>
      </c>
      <c r="D266" s="137" t="s">
        <v>327</v>
      </c>
      <c r="E266" s="545" t="s">
        <v>436</v>
      </c>
      <c r="F266" s="140" t="s">
        <v>88</v>
      </c>
      <c r="G266" s="137" t="s">
        <v>437</v>
      </c>
      <c r="H266" s="145">
        <v>0.02</v>
      </c>
      <c r="I266" s="141" t="s">
        <v>37</v>
      </c>
      <c r="J266" s="142" t="s">
        <v>128</v>
      </c>
      <c r="K266" s="141" t="s">
        <v>174</v>
      </c>
      <c r="L266" s="143">
        <v>20000</v>
      </c>
      <c r="M266" s="144">
        <v>10670</v>
      </c>
    </row>
    <row r="267" spans="2:13" ht="15" customHeight="1" x14ac:dyDescent="0.2">
      <c r="B267" s="133" t="s">
        <v>461</v>
      </c>
      <c r="C267" s="134">
        <v>36427</v>
      </c>
      <c r="D267" s="137" t="s">
        <v>434</v>
      </c>
      <c r="E267" s="545" t="s">
        <v>402</v>
      </c>
      <c r="F267" s="309" t="s">
        <v>54</v>
      </c>
      <c r="G267" s="137" t="s">
        <v>69</v>
      </c>
      <c r="H267" s="140" t="s">
        <v>620</v>
      </c>
      <c r="I267" s="141" t="s">
        <v>309</v>
      </c>
      <c r="J267" s="142" t="s">
        <v>185</v>
      </c>
      <c r="K267" s="141" t="s">
        <v>18</v>
      </c>
      <c r="L267" s="143">
        <v>200000</v>
      </c>
      <c r="M267" s="144">
        <v>200000</v>
      </c>
    </row>
    <row r="268" spans="2:13" ht="15" customHeight="1" x14ac:dyDescent="0.2">
      <c r="B268" s="133" t="s">
        <v>468</v>
      </c>
      <c r="C268" s="134">
        <v>36450</v>
      </c>
      <c r="D268" s="137" t="s">
        <v>464</v>
      </c>
      <c r="E268" s="545" t="s">
        <v>465</v>
      </c>
      <c r="F268" s="140" t="s">
        <v>384</v>
      </c>
      <c r="G268" s="137" t="s">
        <v>466</v>
      </c>
      <c r="H268" s="140" t="s">
        <v>340</v>
      </c>
      <c r="I268" s="141" t="s">
        <v>467</v>
      </c>
      <c r="J268" s="142" t="s">
        <v>454</v>
      </c>
      <c r="K268" s="141" t="s">
        <v>18</v>
      </c>
      <c r="L268" s="143">
        <v>150000</v>
      </c>
      <c r="M268" s="144">
        <v>150000</v>
      </c>
    </row>
    <row r="269" spans="2:13" ht="15" customHeight="1" x14ac:dyDescent="0.2">
      <c r="B269" s="133" t="s">
        <v>625</v>
      </c>
      <c r="C269" s="134">
        <v>36487</v>
      </c>
      <c r="D269" s="137" t="s">
        <v>600</v>
      </c>
      <c r="E269" s="545" t="s">
        <v>696</v>
      </c>
      <c r="F269" s="309" t="s">
        <v>54</v>
      </c>
      <c r="G269" s="137" t="s">
        <v>69</v>
      </c>
      <c r="H269" s="145">
        <v>0.02</v>
      </c>
      <c r="I269" s="141" t="s">
        <v>37</v>
      </c>
      <c r="J269" s="142" t="s">
        <v>128</v>
      </c>
      <c r="K269" s="141" t="s">
        <v>174</v>
      </c>
      <c r="L269" s="143">
        <v>10000</v>
      </c>
      <c r="M269" s="144">
        <v>5280</v>
      </c>
    </row>
    <row r="270" spans="2:13" ht="15" customHeight="1" x14ac:dyDescent="0.2">
      <c r="B270" s="133" t="s">
        <v>624</v>
      </c>
      <c r="C270" s="134">
        <v>36502</v>
      </c>
      <c r="D270" s="137" t="s">
        <v>464</v>
      </c>
      <c r="E270" s="545" t="s">
        <v>698</v>
      </c>
      <c r="F270" s="140" t="s">
        <v>54</v>
      </c>
      <c r="G270" s="137" t="s">
        <v>13</v>
      </c>
      <c r="H270" s="140" t="s">
        <v>843</v>
      </c>
      <c r="I270" s="141" t="s">
        <v>309</v>
      </c>
      <c r="J270" s="142" t="s">
        <v>345</v>
      </c>
      <c r="K270" s="141" t="s">
        <v>18</v>
      </c>
      <c r="L270" s="143">
        <v>300000</v>
      </c>
      <c r="M270" s="144">
        <v>300000</v>
      </c>
    </row>
    <row r="271" spans="2:13" x14ac:dyDescent="0.2">
      <c r="B271" s="133"/>
      <c r="C271" s="134"/>
      <c r="D271" s="137"/>
      <c r="E271" s="545"/>
      <c r="F271" s="140"/>
      <c r="G271" s="137"/>
      <c r="H271" s="140"/>
      <c r="I271" s="141"/>
      <c r="J271" s="142"/>
      <c r="K271" s="141"/>
      <c r="L271" s="143"/>
      <c r="M271" s="144"/>
    </row>
    <row r="272" spans="2:13" x14ac:dyDescent="0.2">
      <c r="B272" s="47" t="s">
        <v>555</v>
      </c>
      <c r="C272" s="102"/>
      <c r="D272" s="104"/>
      <c r="E272" s="541"/>
      <c r="F272" s="105"/>
      <c r="G272" s="104"/>
      <c r="H272" s="105"/>
      <c r="I272" s="99"/>
      <c r="J272" s="100"/>
      <c r="K272" s="109"/>
      <c r="L272" s="107"/>
      <c r="M272" s="110">
        <f>SUM(M273:M283)</f>
        <v>980548</v>
      </c>
    </row>
    <row r="273" spans="2:13" ht="15" customHeight="1" x14ac:dyDescent="0.2">
      <c r="B273" s="133" t="s">
        <v>403</v>
      </c>
      <c r="C273" s="134">
        <v>36187</v>
      </c>
      <c r="D273" s="137" t="s">
        <v>765</v>
      </c>
      <c r="E273" s="545" t="s">
        <v>402</v>
      </c>
      <c r="F273" s="309" t="s">
        <v>54</v>
      </c>
      <c r="G273" s="104" t="s">
        <v>69</v>
      </c>
      <c r="H273" s="140" t="s">
        <v>55</v>
      </c>
      <c r="I273" s="141" t="s">
        <v>309</v>
      </c>
      <c r="J273" s="142" t="s">
        <v>185</v>
      </c>
      <c r="K273" s="141" t="s">
        <v>18</v>
      </c>
      <c r="L273" s="143">
        <v>200000</v>
      </c>
      <c r="M273" s="144">
        <v>200000</v>
      </c>
    </row>
    <row r="274" spans="2:13" ht="15" customHeight="1" x14ac:dyDescent="0.2">
      <c r="B274" s="133" t="s">
        <v>406</v>
      </c>
      <c r="C274" s="134">
        <v>36187</v>
      </c>
      <c r="D274" s="137" t="s">
        <v>766</v>
      </c>
      <c r="E274" s="545" t="s">
        <v>404</v>
      </c>
      <c r="F274" s="309" t="s">
        <v>679</v>
      </c>
      <c r="G274" s="137" t="s">
        <v>405</v>
      </c>
      <c r="H274" s="140" t="s">
        <v>55</v>
      </c>
      <c r="I274" s="141" t="s">
        <v>385</v>
      </c>
      <c r="J274" s="142" t="s">
        <v>386</v>
      </c>
      <c r="K274" s="141" t="s">
        <v>18</v>
      </c>
      <c r="L274" s="143">
        <v>46600</v>
      </c>
      <c r="M274" s="144">
        <v>46600</v>
      </c>
    </row>
    <row r="275" spans="2:13" ht="15" customHeight="1" x14ac:dyDescent="0.2">
      <c r="B275" s="133" t="s">
        <v>409</v>
      </c>
      <c r="C275" s="134">
        <v>36199</v>
      </c>
      <c r="D275" s="137" t="s">
        <v>97</v>
      </c>
      <c r="E275" s="545" t="s">
        <v>407</v>
      </c>
      <c r="F275" s="309" t="s">
        <v>384</v>
      </c>
      <c r="G275" s="137" t="s">
        <v>223</v>
      </c>
      <c r="H275" s="199" t="s">
        <v>1894</v>
      </c>
      <c r="I275" s="141" t="s">
        <v>408</v>
      </c>
      <c r="J275" s="142" t="s">
        <v>37</v>
      </c>
      <c r="K275" s="141" t="s">
        <v>18</v>
      </c>
      <c r="L275" s="143">
        <v>17000</v>
      </c>
      <c r="M275" s="144">
        <v>17000</v>
      </c>
    </row>
    <row r="276" spans="2:13" ht="15" customHeight="1" x14ac:dyDescent="0.2">
      <c r="B276" s="133" t="s">
        <v>433</v>
      </c>
      <c r="C276" s="134">
        <v>36273</v>
      </c>
      <c r="D276" s="137" t="s">
        <v>431</v>
      </c>
      <c r="E276" s="545" t="s">
        <v>432</v>
      </c>
      <c r="F276" s="140" t="s">
        <v>54</v>
      </c>
      <c r="G276" s="104" t="s">
        <v>69</v>
      </c>
      <c r="H276" s="145">
        <v>0.04</v>
      </c>
      <c r="I276" s="141" t="s">
        <v>309</v>
      </c>
      <c r="J276" s="142" t="s">
        <v>345</v>
      </c>
      <c r="K276" s="141" t="s">
        <v>18</v>
      </c>
      <c r="L276" s="143">
        <v>4000</v>
      </c>
      <c r="M276" s="144">
        <v>4000</v>
      </c>
    </row>
    <row r="277" spans="2:13" ht="15" customHeight="1" x14ac:dyDescent="0.2">
      <c r="B277" s="133" t="s">
        <v>441</v>
      </c>
      <c r="C277" s="134">
        <v>36330</v>
      </c>
      <c r="D277" s="137" t="s">
        <v>767</v>
      </c>
      <c r="E277" s="545" t="s">
        <v>439</v>
      </c>
      <c r="F277" s="140" t="s">
        <v>54</v>
      </c>
      <c r="G277" s="137" t="s">
        <v>440</v>
      </c>
      <c r="H277" s="140" t="s">
        <v>116</v>
      </c>
      <c r="I277" s="141" t="s">
        <v>309</v>
      </c>
      <c r="J277" s="142" t="s">
        <v>345</v>
      </c>
      <c r="K277" s="141" t="s">
        <v>18</v>
      </c>
      <c r="L277" s="143">
        <v>300000</v>
      </c>
      <c r="M277" s="144">
        <v>300000</v>
      </c>
    </row>
    <row r="278" spans="2:13" ht="15" customHeight="1" x14ac:dyDescent="0.2">
      <c r="B278" s="133" t="s">
        <v>444</v>
      </c>
      <c r="C278" s="134">
        <v>36339</v>
      </c>
      <c r="D278" s="137" t="s">
        <v>97</v>
      </c>
      <c r="E278" s="545" t="s">
        <v>442</v>
      </c>
      <c r="F278" s="140" t="s">
        <v>21</v>
      </c>
      <c r="G278" s="155" t="s">
        <v>671</v>
      </c>
      <c r="H278" s="199" t="s">
        <v>1895</v>
      </c>
      <c r="I278" s="141" t="s">
        <v>408</v>
      </c>
      <c r="J278" s="142" t="s">
        <v>443</v>
      </c>
      <c r="K278" s="141" t="s">
        <v>18</v>
      </c>
      <c r="L278" s="143">
        <v>50000</v>
      </c>
      <c r="M278" s="144">
        <v>50000</v>
      </c>
    </row>
    <row r="279" spans="2:13" ht="15" customHeight="1" x14ac:dyDescent="0.2">
      <c r="B279" s="133" t="s">
        <v>450</v>
      </c>
      <c r="C279" s="134">
        <v>36379</v>
      </c>
      <c r="D279" s="137" t="s">
        <v>97</v>
      </c>
      <c r="E279" s="545" t="s">
        <v>447</v>
      </c>
      <c r="F279" s="309" t="s">
        <v>64</v>
      </c>
      <c r="G279" s="137" t="s">
        <v>448</v>
      </c>
      <c r="H279" s="199" t="s">
        <v>1895</v>
      </c>
      <c r="I279" s="141" t="s">
        <v>308</v>
      </c>
      <c r="J279" s="142" t="s">
        <v>449</v>
      </c>
      <c r="K279" s="141" t="s">
        <v>18</v>
      </c>
      <c r="L279" s="143">
        <v>25000</v>
      </c>
      <c r="M279" s="144">
        <f>+L279</f>
        <v>25000</v>
      </c>
    </row>
    <row r="280" spans="2:13" ht="15" customHeight="1" x14ac:dyDescent="0.2">
      <c r="B280" s="133" t="s">
        <v>452</v>
      </c>
      <c r="C280" s="134">
        <v>36399</v>
      </c>
      <c r="D280" s="137" t="s">
        <v>768</v>
      </c>
      <c r="E280" s="545" t="s">
        <v>451</v>
      </c>
      <c r="F280" s="140" t="s">
        <v>54</v>
      </c>
      <c r="G280" s="104" t="s">
        <v>69</v>
      </c>
      <c r="H280" s="199" t="s">
        <v>1896</v>
      </c>
      <c r="I280" s="141" t="s">
        <v>385</v>
      </c>
      <c r="J280" s="142" t="s">
        <v>408</v>
      </c>
      <c r="K280" s="141" t="s">
        <v>18</v>
      </c>
      <c r="L280" s="143">
        <v>300000</v>
      </c>
      <c r="M280" s="144">
        <v>300000</v>
      </c>
    </row>
    <row r="281" spans="2:13" ht="15" customHeight="1" x14ac:dyDescent="0.2">
      <c r="B281" s="133" t="s">
        <v>456</v>
      </c>
      <c r="C281" s="134">
        <v>36408</v>
      </c>
      <c r="D281" s="137" t="s">
        <v>769</v>
      </c>
      <c r="E281" s="545" t="s">
        <v>453</v>
      </c>
      <c r="F281" s="140" t="s">
        <v>54</v>
      </c>
      <c r="G281" s="137" t="s">
        <v>440</v>
      </c>
      <c r="H281" s="140" t="s">
        <v>55</v>
      </c>
      <c r="I281" s="141" t="s">
        <v>454</v>
      </c>
      <c r="J281" s="142" t="s">
        <v>455</v>
      </c>
      <c r="K281" s="141" t="s">
        <v>18</v>
      </c>
      <c r="L281" s="143">
        <v>10908</v>
      </c>
      <c r="M281" s="144">
        <v>10908</v>
      </c>
    </row>
    <row r="282" spans="2:13" ht="15" customHeight="1" x14ac:dyDescent="0.2">
      <c r="B282" s="133" t="s">
        <v>621</v>
      </c>
      <c r="C282" s="134">
        <v>36498</v>
      </c>
      <c r="D282" s="137" t="s">
        <v>288</v>
      </c>
      <c r="E282" s="549" t="s">
        <v>697</v>
      </c>
      <c r="F282" s="309" t="s">
        <v>679</v>
      </c>
      <c r="G282" s="137" t="s">
        <v>178</v>
      </c>
      <c r="H282" s="140" t="s">
        <v>288</v>
      </c>
      <c r="I282" s="141" t="s">
        <v>385</v>
      </c>
      <c r="J282" s="142" t="s">
        <v>351</v>
      </c>
      <c r="K282" s="141" t="s">
        <v>133</v>
      </c>
      <c r="L282" s="143">
        <v>13900</v>
      </c>
      <c r="M282" s="144">
        <v>19040</v>
      </c>
    </row>
    <row r="283" spans="2:13" ht="15" customHeight="1" x14ac:dyDescent="0.2">
      <c r="B283" s="133" t="s">
        <v>622</v>
      </c>
      <c r="C283" s="134">
        <v>36525</v>
      </c>
      <c r="D283" s="137" t="s">
        <v>97</v>
      </c>
      <c r="E283" s="549" t="s">
        <v>699</v>
      </c>
      <c r="F283" s="309" t="s">
        <v>21</v>
      </c>
      <c r="G283" s="155" t="s">
        <v>81</v>
      </c>
      <c r="H283" s="199" t="s">
        <v>1897</v>
      </c>
      <c r="I283" s="141" t="s">
        <v>578</v>
      </c>
      <c r="J283" s="142" t="s">
        <v>579</v>
      </c>
      <c r="K283" s="141" t="s">
        <v>18</v>
      </c>
      <c r="L283" s="143">
        <v>8000</v>
      </c>
      <c r="M283" s="144">
        <v>8000</v>
      </c>
    </row>
    <row r="284" spans="2:13" x14ac:dyDescent="0.2">
      <c r="B284" s="133"/>
      <c r="C284" s="134"/>
      <c r="D284" s="137"/>
      <c r="E284" s="549"/>
      <c r="F284" s="309"/>
      <c r="G284" s="155"/>
      <c r="H284" s="140"/>
      <c r="I284" s="141"/>
      <c r="J284" s="142"/>
      <c r="K284" s="141"/>
      <c r="L284" s="143"/>
      <c r="M284" s="144"/>
    </row>
    <row r="285" spans="2:13" x14ac:dyDescent="0.2">
      <c r="B285" s="47" t="s">
        <v>689</v>
      </c>
      <c r="C285" s="102"/>
      <c r="D285" s="104"/>
      <c r="E285" s="541"/>
      <c r="F285" s="105"/>
      <c r="G285" s="104"/>
      <c r="H285" s="105"/>
      <c r="I285" s="99"/>
      <c r="J285" s="100"/>
      <c r="K285" s="109"/>
      <c r="L285" s="143"/>
      <c r="M285" s="110">
        <f>SUM(M286)</f>
        <v>15602</v>
      </c>
    </row>
    <row r="286" spans="2:13" ht="15" customHeight="1" x14ac:dyDescent="0.2">
      <c r="B286" s="126" t="s">
        <v>666</v>
      </c>
      <c r="C286" s="134">
        <v>36428</v>
      </c>
      <c r="D286" s="137" t="s">
        <v>338</v>
      </c>
      <c r="E286" s="545" t="s">
        <v>25</v>
      </c>
      <c r="F286" s="140" t="s">
        <v>26</v>
      </c>
      <c r="G286" s="137" t="s">
        <v>27</v>
      </c>
      <c r="H286" s="140" t="s">
        <v>340</v>
      </c>
      <c r="I286" s="141" t="s">
        <v>462</v>
      </c>
      <c r="J286" s="142" t="s">
        <v>463</v>
      </c>
      <c r="K286" s="141" t="s">
        <v>18</v>
      </c>
      <c r="L286" s="143">
        <v>15602</v>
      </c>
      <c r="M286" s="144">
        <v>15602</v>
      </c>
    </row>
    <row r="287" spans="2:13" x14ac:dyDescent="0.2">
      <c r="B287" s="126"/>
      <c r="C287" s="134"/>
      <c r="D287" s="137"/>
      <c r="E287" s="545"/>
      <c r="F287" s="140"/>
      <c r="G287" s="137"/>
      <c r="H287" s="140"/>
      <c r="I287" s="141"/>
      <c r="J287" s="142"/>
      <c r="K287" s="141"/>
      <c r="L287" s="143"/>
      <c r="M287" s="144"/>
    </row>
    <row r="288" spans="2:13" x14ac:dyDescent="0.2">
      <c r="B288" s="47" t="s">
        <v>221</v>
      </c>
      <c r="C288" s="102"/>
      <c r="D288" s="104"/>
      <c r="E288" s="541"/>
      <c r="F288" s="105"/>
      <c r="G288" s="104"/>
      <c r="H288" s="105"/>
      <c r="I288" s="99"/>
      <c r="J288" s="100"/>
      <c r="K288" s="109"/>
      <c r="L288" s="107"/>
      <c r="M288" s="110">
        <f>+M289</f>
        <v>1907</v>
      </c>
    </row>
    <row r="289" spans="2:13" ht="15" customHeight="1" thickBot="1" x14ac:dyDescent="0.25">
      <c r="B289" s="146" t="s">
        <v>415</v>
      </c>
      <c r="C289" s="147">
        <v>36217</v>
      </c>
      <c r="D289" s="149" t="s">
        <v>414</v>
      </c>
      <c r="E289" s="546" t="s">
        <v>411</v>
      </c>
      <c r="F289" s="623" t="s">
        <v>21</v>
      </c>
      <c r="G289" s="158" t="s">
        <v>81</v>
      </c>
      <c r="H289" s="150">
        <v>7.0000000000000007E-2</v>
      </c>
      <c r="I289" s="151" t="s">
        <v>844</v>
      </c>
      <c r="J289" s="152" t="s">
        <v>280</v>
      </c>
      <c r="K289" s="151" t="s">
        <v>18</v>
      </c>
      <c r="L289" s="153">
        <f>1907.015</f>
        <v>1907.0150000000001</v>
      </c>
      <c r="M289" s="154">
        <v>1907</v>
      </c>
    </row>
    <row r="290" spans="2:13" ht="15" customHeight="1" thickTop="1" x14ac:dyDescent="0.2">
      <c r="B290" s="483"/>
      <c r="C290" s="484"/>
      <c r="D290" s="486"/>
      <c r="E290" s="547"/>
      <c r="F290" s="624"/>
      <c r="G290" s="492"/>
      <c r="H290" s="487"/>
      <c r="I290" s="488"/>
      <c r="J290" s="489"/>
      <c r="K290" s="488"/>
      <c r="L290" s="490"/>
      <c r="M290" s="268"/>
    </row>
    <row r="291" spans="2:13" s="46" customFormat="1" ht="18" x14ac:dyDescent="0.2">
      <c r="B291" s="117">
        <v>2000</v>
      </c>
      <c r="C291" s="491"/>
      <c r="D291" s="477"/>
      <c r="E291" s="543"/>
      <c r="F291" s="118"/>
      <c r="G291" s="477"/>
      <c r="H291" s="118"/>
      <c r="I291" s="119"/>
      <c r="J291" s="120"/>
      <c r="K291" s="119"/>
      <c r="L291" s="131"/>
      <c r="M291" s="132">
        <f>+M292+M295+M303+M314</f>
        <v>1261463</v>
      </c>
    </row>
    <row r="292" spans="2:13" x14ac:dyDescent="0.2">
      <c r="B292" s="47" t="s">
        <v>553</v>
      </c>
      <c r="C292" s="159"/>
      <c r="D292" s="104"/>
      <c r="E292" s="541"/>
      <c r="F292" s="105"/>
      <c r="G292" s="104"/>
      <c r="H292" s="105"/>
      <c r="I292" s="99"/>
      <c r="J292" s="100"/>
      <c r="K292" s="109"/>
      <c r="L292" s="107"/>
      <c r="M292" s="110">
        <f>+M293</f>
        <v>3500</v>
      </c>
    </row>
    <row r="293" spans="2:13" ht="15" customHeight="1" x14ac:dyDescent="0.2">
      <c r="B293" s="133" t="s">
        <v>599</v>
      </c>
      <c r="C293" s="160">
        <v>36802</v>
      </c>
      <c r="D293" s="161" t="s">
        <v>457</v>
      </c>
      <c r="E293" s="550" t="s">
        <v>626</v>
      </c>
      <c r="F293" s="309" t="s">
        <v>680</v>
      </c>
      <c r="G293" s="161" t="s">
        <v>686</v>
      </c>
      <c r="H293" s="164">
        <v>0.09</v>
      </c>
      <c r="I293" s="162" t="s">
        <v>597</v>
      </c>
      <c r="J293" s="163" t="s">
        <v>613</v>
      </c>
      <c r="K293" s="165" t="s">
        <v>18</v>
      </c>
      <c r="L293" s="166">
        <v>3500</v>
      </c>
      <c r="M293" s="167">
        <v>3500</v>
      </c>
    </row>
    <row r="294" spans="2:13" x14ac:dyDescent="0.2">
      <c r="B294" s="133"/>
      <c r="C294" s="160"/>
      <c r="D294" s="161"/>
      <c r="E294" s="550"/>
      <c r="F294" s="309"/>
      <c r="G294" s="161"/>
      <c r="H294" s="164"/>
      <c r="I294" s="165"/>
      <c r="J294" s="163"/>
      <c r="K294" s="165"/>
      <c r="L294" s="166"/>
      <c r="M294" s="167"/>
    </row>
    <row r="295" spans="2:13" x14ac:dyDescent="0.2">
      <c r="B295" s="47" t="s">
        <v>701</v>
      </c>
      <c r="C295" s="159"/>
      <c r="D295" s="104"/>
      <c r="E295" s="541"/>
      <c r="F295" s="105"/>
      <c r="G295" s="104"/>
      <c r="H295" s="105"/>
      <c r="I295" s="99"/>
      <c r="J295" s="100"/>
      <c r="K295" s="109"/>
      <c r="L295" s="107"/>
      <c r="M295" s="110">
        <f>SUM(M296:M301)</f>
        <v>433862</v>
      </c>
    </row>
    <row r="296" spans="2:13" ht="15" customHeight="1" x14ac:dyDescent="0.2">
      <c r="B296" s="133" t="s">
        <v>582</v>
      </c>
      <c r="C296" s="160">
        <v>36734</v>
      </c>
      <c r="D296" s="137" t="s">
        <v>583</v>
      </c>
      <c r="E296" s="545" t="s">
        <v>584</v>
      </c>
      <c r="F296" s="309" t="s">
        <v>682</v>
      </c>
      <c r="G296" s="137" t="s">
        <v>585</v>
      </c>
      <c r="H296" s="199" t="s">
        <v>1898</v>
      </c>
      <c r="I296" s="141" t="s">
        <v>309</v>
      </c>
      <c r="J296" s="142" t="s">
        <v>586</v>
      </c>
      <c r="K296" s="611" t="s">
        <v>18</v>
      </c>
      <c r="L296" s="143">
        <v>5000</v>
      </c>
      <c r="M296" s="144">
        <v>5000</v>
      </c>
    </row>
    <row r="297" spans="2:13" ht="15" customHeight="1" x14ac:dyDescent="0.2">
      <c r="B297" s="133" t="s">
        <v>589</v>
      </c>
      <c r="C297" s="160">
        <v>36768</v>
      </c>
      <c r="D297" s="137" t="s">
        <v>464</v>
      </c>
      <c r="E297" s="545" t="s">
        <v>590</v>
      </c>
      <c r="F297" s="309" t="s">
        <v>679</v>
      </c>
      <c r="G297" s="137" t="s">
        <v>178</v>
      </c>
      <c r="H297" s="199" t="s">
        <v>1899</v>
      </c>
      <c r="I297" s="141" t="s">
        <v>591</v>
      </c>
      <c r="J297" s="142" t="s">
        <v>592</v>
      </c>
      <c r="K297" s="611" t="s">
        <v>74</v>
      </c>
      <c r="L297" s="143">
        <v>6794</v>
      </c>
      <c r="M297" s="144">
        <v>64176</v>
      </c>
    </row>
    <row r="298" spans="2:13" s="53" customFormat="1" ht="15" customHeight="1" x14ac:dyDescent="0.2">
      <c r="B298" s="133" t="s">
        <v>593</v>
      </c>
      <c r="C298" s="160">
        <v>36768</v>
      </c>
      <c r="D298" s="137" t="s">
        <v>464</v>
      </c>
      <c r="E298" s="544" t="s">
        <v>1850</v>
      </c>
      <c r="F298" s="140" t="s">
        <v>11</v>
      </c>
      <c r="G298" s="137" t="s">
        <v>594</v>
      </c>
      <c r="H298" s="199" t="s">
        <v>1900</v>
      </c>
      <c r="I298" s="141" t="s">
        <v>591</v>
      </c>
      <c r="J298" s="142" t="s">
        <v>592</v>
      </c>
      <c r="K298" s="611" t="s">
        <v>74</v>
      </c>
      <c r="L298" s="143">
        <v>5588</v>
      </c>
      <c r="M298" s="144">
        <v>52784</v>
      </c>
    </row>
    <row r="299" spans="2:13" ht="15" customHeight="1" x14ac:dyDescent="0.2">
      <c r="B299" s="133" t="s">
        <v>595</v>
      </c>
      <c r="C299" s="160">
        <v>36768</v>
      </c>
      <c r="D299" s="137" t="s">
        <v>464</v>
      </c>
      <c r="E299" s="550" t="s">
        <v>627</v>
      </c>
      <c r="F299" s="140" t="s">
        <v>88</v>
      </c>
      <c r="G299" s="161" t="s">
        <v>687</v>
      </c>
      <c r="H299" s="164" t="s">
        <v>596</v>
      </c>
      <c r="I299" s="165" t="s">
        <v>591</v>
      </c>
      <c r="J299" s="163" t="s">
        <v>592</v>
      </c>
      <c r="K299" s="611" t="s">
        <v>74</v>
      </c>
      <c r="L299" s="166">
        <v>7636000</v>
      </c>
      <c r="M299" s="167">
        <v>72130</v>
      </c>
    </row>
    <row r="300" spans="2:13" ht="15" customHeight="1" x14ac:dyDescent="0.2">
      <c r="B300" s="133" t="s">
        <v>598</v>
      </c>
      <c r="C300" s="160">
        <v>36768</v>
      </c>
      <c r="D300" s="137" t="s">
        <v>464</v>
      </c>
      <c r="E300" s="550" t="s">
        <v>628</v>
      </c>
      <c r="F300" s="140" t="s">
        <v>88</v>
      </c>
      <c r="G300" s="161" t="s">
        <v>89</v>
      </c>
      <c r="H300" s="164" t="s">
        <v>596</v>
      </c>
      <c r="I300" s="165" t="s">
        <v>591</v>
      </c>
      <c r="J300" s="163" t="s">
        <v>592</v>
      </c>
      <c r="K300" s="611" t="s">
        <v>74</v>
      </c>
      <c r="L300" s="166">
        <v>24854000</v>
      </c>
      <c r="M300" s="167">
        <v>234771</v>
      </c>
    </row>
    <row r="301" spans="2:13" ht="15" customHeight="1" x14ac:dyDescent="0.2">
      <c r="B301" s="133" t="s">
        <v>602</v>
      </c>
      <c r="C301" s="160">
        <v>36815</v>
      </c>
      <c r="D301" s="137" t="s">
        <v>600</v>
      </c>
      <c r="E301" s="550" t="s">
        <v>629</v>
      </c>
      <c r="F301" s="140" t="s">
        <v>88</v>
      </c>
      <c r="G301" s="161" t="s">
        <v>601</v>
      </c>
      <c r="H301" s="164">
        <v>0.02</v>
      </c>
      <c r="I301" s="165" t="s">
        <v>37</v>
      </c>
      <c r="J301" s="163" t="s">
        <v>128</v>
      </c>
      <c r="K301" s="611" t="s">
        <v>174</v>
      </c>
      <c r="L301" s="166">
        <v>11500</v>
      </c>
      <c r="M301" s="167">
        <v>5001</v>
      </c>
    </row>
    <row r="302" spans="2:13" ht="14.25" x14ac:dyDescent="0.2">
      <c r="B302" s="133"/>
      <c r="C302" s="160"/>
      <c r="D302" s="137"/>
      <c r="E302" s="550"/>
      <c r="F302" s="140"/>
      <c r="G302" s="161"/>
      <c r="H302" s="164"/>
      <c r="I302" s="165"/>
      <c r="J302" s="163"/>
      <c r="K302" s="611"/>
      <c r="L302" s="166"/>
      <c r="M302" s="167"/>
    </row>
    <row r="303" spans="2:13" ht="14.25" x14ac:dyDescent="0.2">
      <c r="B303" s="47" t="s">
        <v>555</v>
      </c>
      <c r="C303" s="159"/>
      <c r="D303" s="104"/>
      <c r="E303" s="541"/>
      <c r="F303" s="105"/>
      <c r="G303" s="104"/>
      <c r="H303" s="105"/>
      <c r="I303" s="99"/>
      <c r="J303" s="100"/>
      <c r="K303" s="612"/>
      <c r="L303" s="107"/>
      <c r="M303" s="110">
        <f>SUM(M304:M312)</f>
        <v>823100</v>
      </c>
    </row>
    <row r="304" spans="2:13" ht="15" customHeight="1" x14ac:dyDescent="0.2">
      <c r="B304" s="133" t="s">
        <v>571</v>
      </c>
      <c r="C304" s="160">
        <v>36559</v>
      </c>
      <c r="D304" s="137" t="s">
        <v>770</v>
      </c>
      <c r="E304" s="545" t="s">
        <v>572</v>
      </c>
      <c r="F304" s="140" t="s">
        <v>54</v>
      </c>
      <c r="G304" s="137" t="s">
        <v>573</v>
      </c>
      <c r="H304" s="199" t="s">
        <v>55</v>
      </c>
      <c r="I304" s="141" t="s">
        <v>309</v>
      </c>
      <c r="J304" s="142" t="s">
        <v>185</v>
      </c>
      <c r="K304" s="611" t="s">
        <v>18</v>
      </c>
      <c r="L304" s="143">
        <v>200000</v>
      </c>
      <c r="M304" s="144">
        <v>200000</v>
      </c>
    </row>
    <row r="305" spans="2:13" ht="15" customHeight="1" x14ac:dyDescent="0.2">
      <c r="B305" s="133" t="s">
        <v>574</v>
      </c>
      <c r="C305" s="160">
        <v>36596</v>
      </c>
      <c r="D305" s="187" t="s">
        <v>771</v>
      </c>
      <c r="E305" s="545" t="s">
        <v>575</v>
      </c>
      <c r="F305" s="140" t="s">
        <v>54</v>
      </c>
      <c r="G305" s="137" t="s">
        <v>573</v>
      </c>
      <c r="H305" s="199" t="s">
        <v>55</v>
      </c>
      <c r="I305" s="141" t="s">
        <v>385</v>
      </c>
      <c r="J305" s="142" t="s">
        <v>217</v>
      </c>
      <c r="K305" s="611" t="s">
        <v>18</v>
      </c>
      <c r="L305" s="143">
        <v>6500</v>
      </c>
      <c r="M305" s="144">
        <v>6500</v>
      </c>
    </row>
    <row r="306" spans="2:13" ht="15" customHeight="1" x14ac:dyDescent="0.2">
      <c r="B306" s="133" t="s">
        <v>576</v>
      </c>
      <c r="C306" s="160">
        <v>36643</v>
      </c>
      <c r="D306" s="137" t="s">
        <v>97</v>
      </c>
      <c r="E306" s="545" t="s">
        <v>577</v>
      </c>
      <c r="F306" s="59" t="s">
        <v>88</v>
      </c>
      <c r="G306" s="137" t="s">
        <v>89</v>
      </c>
      <c r="H306" s="199" t="s">
        <v>1901</v>
      </c>
      <c r="I306" s="141" t="s">
        <v>578</v>
      </c>
      <c r="J306" s="142" t="s">
        <v>579</v>
      </c>
      <c r="K306" s="611" t="s">
        <v>18</v>
      </c>
      <c r="L306" s="143">
        <v>25000</v>
      </c>
      <c r="M306" s="144">
        <v>25000</v>
      </c>
    </row>
    <row r="307" spans="2:13" ht="15" customHeight="1" x14ac:dyDescent="0.2">
      <c r="B307" s="133" t="s">
        <v>587</v>
      </c>
      <c r="C307" s="160">
        <v>36768</v>
      </c>
      <c r="D307" s="137" t="s">
        <v>772</v>
      </c>
      <c r="E307" s="545" t="s">
        <v>588</v>
      </c>
      <c r="F307" s="140" t="s">
        <v>11</v>
      </c>
      <c r="G307" s="137" t="s">
        <v>36</v>
      </c>
      <c r="H307" s="199" t="s">
        <v>1902</v>
      </c>
      <c r="I307" s="141" t="s">
        <v>309</v>
      </c>
      <c r="J307" s="142" t="s">
        <v>345</v>
      </c>
      <c r="K307" s="611" t="s">
        <v>18</v>
      </c>
      <c r="L307" s="143">
        <v>9600</v>
      </c>
      <c r="M307" s="144">
        <v>9600</v>
      </c>
    </row>
    <row r="308" spans="2:13" ht="15" customHeight="1" x14ac:dyDescent="0.2">
      <c r="B308" s="133" t="s">
        <v>604</v>
      </c>
      <c r="C308" s="160">
        <v>36826</v>
      </c>
      <c r="D308" s="137" t="s">
        <v>773</v>
      </c>
      <c r="E308" s="550" t="s">
        <v>630</v>
      </c>
      <c r="F308" s="140" t="s">
        <v>384</v>
      </c>
      <c r="G308" s="161" t="s">
        <v>603</v>
      </c>
      <c r="H308" s="199" t="s">
        <v>55</v>
      </c>
      <c r="I308" s="191" t="s">
        <v>347</v>
      </c>
      <c r="J308" s="192" t="s">
        <v>550</v>
      </c>
      <c r="K308" s="611" t="s">
        <v>18</v>
      </c>
      <c r="L308" s="166">
        <v>120000</v>
      </c>
      <c r="M308" s="167">
        <v>120000</v>
      </c>
    </row>
    <row r="309" spans="2:13" ht="15" customHeight="1" x14ac:dyDescent="0.2">
      <c r="B309" s="133" t="s">
        <v>605</v>
      </c>
      <c r="C309" s="160">
        <v>36826</v>
      </c>
      <c r="D309" s="137" t="s">
        <v>774</v>
      </c>
      <c r="E309" s="550" t="s">
        <v>700</v>
      </c>
      <c r="F309" s="140" t="s">
        <v>319</v>
      </c>
      <c r="G309" s="161" t="s">
        <v>265</v>
      </c>
      <c r="H309" s="199" t="s">
        <v>55</v>
      </c>
      <c r="I309" s="191" t="s">
        <v>606</v>
      </c>
      <c r="J309" s="192" t="s">
        <v>607</v>
      </c>
      <c r="K309" s="611" t="s">
        <v>18</v>
      </c>
      <c r="L309" s="166">
        <v>120000</v>
      </c>
      <c r="M309" s="167">
        <v>120000</v>
      </c>
    </row>
    <row r="310" spans="2:13" ht="15" customHeight="1" x14ac:dyDescent="0.2">
      <c r="B310" s="133" t="s">
        <v>608</v>
      </c>
      <c r="C310" s="160">
        <v>36829</v>
      </c>
      <c r="D310" s="137" t="s">
        <v>775</v>
      </c>
      <c r="E310" s="550" t="s">
        <v>631</v>
      </c>
      <c r="F310" s="140" t="s">
        <v>141</v>
      </c>
      <c r="G310" s="161" t="s">
        <v>142</v>
      </c>
      <c r="H310" s="199" t="s">
        <v>55</v>
      </c>
      <c r="I310" s="191" t="s">
        <v>606</v>
      </c>
      <c r="J310" s="192" t="s">
        <v>607</v>
      </c>
      <c r="K310" s="611" t="s">
        <v>18</v>
      </c>
      <c r="L310" s="166">
        <v>87000</v>
      </c>
      <c r="M310" s="167">
        <v>87000</v>
      </c>
    </row>
    <row r="311" spans="2:13" ht="15" customHeight="1" x14ac:dyDescent="0.2">
      <c r="B311" s="133" t="s">
        <v>609</v>
      </c>
      <c r="C311" s="160">
        <v>36830</v>
      </c>
      <c r="D311" s="137" t="s">
        <v>97</v>
      </c>
      <c r="E311" s="550" t="s">
        <v>632</v>
      </c>
      <c r="F311" s="140" t="s">
        <v>384</v>
      </c>
      <c r="G311" s="161" t="s">
        <v>13</v>
      </c>
      <c r="H311" s="199" t="s">
        <v>1903</v>
      </c>
      <c r="I311" s="191" t="s">
        <v>494</v>
      </c>
      <c r="J311" s="192" t="s">
        <v>610</v>
      </c>
      <c r="K311" s="611" t="s">
        <v>18</v>
      </c>
      <c r="L311" s="166">
        <v>250000</v>
      </c>
      <c r="M311" s="167">
        <v>250000</v>
      </c>
    </row>
    <row r="312" spans="2:13" ht="15" customHeight="1" x14ac:dyDescent="0.2">
      <c r="B312" s="133" t="s">
        <v>611</v>
      </c>
      <c r="C312" s="160">
        <v>36840</v>
      </c>
      <c r="D312" s="137" t="s">
        <v>776</v>
      </c>
      <c r="E312" s="550" t="s">
        <v>633</v>
      </c>
      <c r="F312" s="309" t="s">
        <v>679</v>
      </c>
      <c r="G312" s="161" t="s">
        <v>405</v>
      </c>
      <c r="H312" s="199" t="s">
        <v>612</v>
      </c>
      <c r="I312" s="191" t="s">
        <v>309</v>
      </c>
      <c r="J312" s="192" t="s">
        <v>345</v>
      </c>
      <c r="K312" s="611" t="s">
        <v>18</v>
      </c>
      <c r="L312" s="166">
        <v>5000</v>
      </c>
      <c r="M312" s="167">
        <v>5000</v>
      </c>
    </row>
    <row r="313" spans="2:13" x14ac:dyDescent="0.2">
      <c r="B313" s="133"/>
      <c r="C313" s="160"/>
      <c r="D313" s="137"/>
      <c r="E313" s="550"/>
      <c r="F313" s="309"/>
      <c r="G313" s="161"/>
      <c r="H313" s="168"/>
      <c r="I313" s="165"/>
      <c r="J313" s="163"/>
      <c r="K313" s="165"/>
      <c r="L313" s="166"/>
      <c r="M313" s="167"/>
    </row>
    <row r="314" spans="2:13" x14ac:dyDescent="0.2">
      <c r="B314" s="47" t="s">
        <v>221</v>
      </c>
      <c r="C314" s="159"/>
      <c r="D314" s="104"/>
      <c r="E314" s="541"/>
      <c r="F314" s="105"/>
      <c r="G314" s="104"/>
      <c r="H314" s="105"/>
      <c r="I314" s="99"/>
      <c r="J314" s="100"/>
      <c r="K314" s="109"/>
      <c r="L314" s="107"/>
      <c r="M314" s="110">
        <f>+M315</f>
        <v>1001</v>
      </c>
    </row>
    <row r="315" spans="2:13" ht="15" customHeight="1" thickBot="1" x14ac:dyDescent="0.25">
      <c r="B315" s="146" t="s">
        <v>580</v>
      </c>
      <c r="C315" s="169">
        <v>36707</v>
      </c>
      <c r="D315" s="149" t="s">
        <v>414</v>
      </c>
      <c r="E315" s="546" t="s">
        <v>581</v>
      </c>
      <c r="F315" s="623" t="s">
        <v>21</v>
      </c>
      <c r="G315" s="149" t="s">
        <v>81</v>
      </c>
      <c r="H315" s="150">
        <v>7.0000000000000007E-2</v>
      </c>
      <c r="I315" s="151" t="s">
        <v>356</v>
      </c>
      <c r="J315" s="152" t="s">
        <v>280</v>
      </c>
      <c r="K315" s="151" t="s">
        <v>18</v>
      </c>
      <c r="L315" s="153">
        <v>1001</v>
      </c>
      <c r="M315" s="154">
        <v>1001</v>
      </c>
    </row>
    <row r="316" spans="2:13" ht="15" customHeight="1" thickTop="1" x14ac:dyDescent="0.2">
      <c r="B316" s="483"/>
      <c r="C316" s="493"/>
      <c r="D316" s="489"/>
      <c r="E316" s="547"/>
      <c r="F316" s="624"/>
      <c r="G316" s="486"/>
      <c r="H316" s="494"/>
      <c r="I316" s="488"/>
      <c r="J316" s="489"/>
      <c r="K316" s="488"/>
      <c r="L316" s="490"/>
      <c r="M316" s="268"/>
    </row>
    <row r="317" spans="2:13" ht="18" x14ac:dyDescent="0.2">
      <c r="B317" s="117">
        <v>2001</v>
      </c>
      <c r="C317" s="104"/>
      <c r="D317" s="100"/>
      <c r="E317" s="541"/>
      <c r="F317" s="173"/>
      <c r="G317" s="104"/>
      <c r="H317" s="162"/>
      <c r="I317" s="53"/>
      <c r="J317" s="174"/>
      <c r="K317" s="175"/>
      <c r="L317" s="107"/>
      <c r="M317" s="132">
        <f>+M318+M321</f>
        <v>1050300</v>
      </c>
    </row>
    <row r="318" spans="2:13" x14ac:dyDescent="0.2">
      <c r="B318" s="47" t="s">
        <v>701</v>
      </c>
      <c r="C318" s="104"/>
      <c r="D318" s="100"/>
      <c r="E318" s="541"/>
      <c r="F318" s="173"/>
      <c r="G318" s="104"/>
      <c r="H318" s="162"/>
      <c r="I318" s="53"/>
      <c r="J318" s="174"/>
      <c r="K318" s="175"/>
      <c r="L318" s="107"/>
      <c r="M318" s="110">
        <f>SUM(M319:M319)</f>
        <v>10000</v>
      </c>
    </row>
    <row r="319" spans="2:13" ht="15" customHeight="1" x14ac:dyDescent="0.2">
      <c r="B319" s="176" t="s">
        <v>720</v>
      </c>
      <c r="C319" s="102">
        <v>37057</v>
      </c>
      <c r="D319" s="100" t="s">
        <v>583</v>
      </c>
      <c r="E319" s="541" t="s">
        <v>472</v>
      </c>
      <c r="F319" s="309" t="s">
        <v>739</v>
      </c>
      <c r="G319" s="104" t="s">
        <v>13</v>
      </c>
      <c r="H319" s="125">
        <v>0.01</v>
      </c>
      <c r="I319" s="99" t="s">
        <v>309</v>
      </c>
      <c r="J319" s="100" t="s">
        <v>586</v>
      </c>
      <c r="K319" s="141" t="s">
        <v>18</v>
      </c>
      <c r="L319" s="177">
        <v>10000</v>
      </c>
      <c r="M319" s="178">
        <v>10000</v>
      </c>
    </row>
    <row r="320" spans="2:13" x14ac:dyDescent="0.2">
      <c r="B320" s="179"/>
      <c r="C320" s="104"/>
      <c r="D320" s="100"/>
      <c r="E320" s="541"/>
      <c r="F320" s="173"/>
      <c r="G320" s="104"/>
      <c r="H320" s="162"/>
      <c r="I320" s="53"/>
      <c r="J320" s="174"/>
      <c r="K320" s="175"/>
      <c r="L320" s="107"/>
      <c r="M320" s="138"/>
    </row>
    <row r="321" spans="2:13" x14ac:dyDescent="0.2">
      <c r="B321" s="180" t="s">
        <v>555</v>
      </c>
      <c r="C321" s="104"/>
      <c r="D321" s="100"/>
      <c r="E321" s="541"/>
      <c r="F321" s="173"/>
      <c r="G321" s="104"/>
      <c r="H321" s="162"/>
      <c r="I321" s="53"/>
      <c r="J321" s="174"/>
      <c r="K321" s="175"/>
      <c r="L321" s="107"/>
      <c r="M321" s="110">
        <f>SUM(M322:M331)</f>
        <v>1040300</v>
      </c>
    </row>
    <row r="322" spans="2:13" ht="15" customHeight="1" x14ac:dyDescent="0.2">
      <c r="B322" s="176" t="s">
        <v>722</v>
      </c>
      <c r="C322" s="102">
        <v>36962</v>
      </c>
      <c r="D322" s="100" t="s">
        <v>777</v>
      </c>
      <c r="E322" s="551" t="s">
        <v>1870</v>
      </c>
      <c r="F322" s="105" t="s">
        <v>141</v>
      </c>
      <c r="G322" s="104" t="s">
        <v>142</v>
      </c>
      <c r="H322" s="199" t="s">
        <v>1904</v>
      </c>
      <c r="I322" s="165" t="s">
        <v>309</v>
      </c>
      <c r="J322" s="100" t="s">
        <v>345</v>
      </c>
      <c r="K322" s="141" t="s">
        <v>18</v>
      </c>
      <c r="L322" s="177">
        <v>27000</v>
      </c>
      <c r="M322" s="178">
        <v>27000</v>
      </c>
    </row>
    <row r="323" spans="2:13" ht="15" customHeight="1" x14ac:dyDescent="0.2">
      <c r="B323" s="176" t="s">
        <v>723</v>
      </c>
      <c r="C323" s="102">
        <v>36976</v>
      </c>
      <c r="D323" s="100" t="s">
        <v>778</v>
      </c>
      <c r="E323" s="552" t="s">
        <v>731</v>
      </c>
      <c r="F323" s="105" t="s">
        <v>54</v>
      </c>
      <c r="G323" s="104" t="s">
        <v>13</v>
      </c>
      <c r="H323" s="199" t="s">
        <v>1904</v>
      </c>
      <c r="I323" s="165" t="s">
        <v>309</v>
      </c>
      <c r="J323" s="100" t="s">
        <v>345</v>
      </c>
      <c r="K323" s="141" t="s">
        <v>18</v>
      </c>
      <c r="L323" s="177">
        <v>100000</v>
      </c>
      <c r="M323" s="178">
        <v>100000</v>
      </c>
    </row>
    <row r="324" spans="2:13" ht="15" customHeight="1" x14ac:dyDescent="0.2">
      <c r="B324" s="176" t="s">
        <v>724</v>
      </c>
      <c r="C324" s="102">
        <v>37001</v>
      </c>
      <c r="D324" s="100" t="s">
        <v>97</v>
      </c>
      <c r="E324" s="552" t="s">
        <v>732</v>
      </c>
      <c r="F324" s="140" t="s">
        <v>384</v>
      </c>
      <c r="G324" s="104" t="s">
        <v>13</v>
      </c>
      <c r="H324" s="199" t="s">
        <v>1905</v>
      </c>
      <c r="I324" s="99" t="s">
        <v>391</v>
      </c>
      <c r="J324" s="100" t="s">
        <v>737</v>
      </c>
      <c r="K324" s="141" t="s">
        <v>18</v>
      </c>
      <c r="L324" s="177">
        <v>300000</v>
      </c>
      <c r="M324" s="178">
        <v>300000</v>
      </c>
    </row>
    <row r="325" spans="2:13" ht="15" customHeight="1" x14ac:dyDescent="0.2">
      <c r="B325" s="176" t="s">
        <v>725</v>
      </c>
      <c r="C325" s="102">
        <v>37040</v>
      </c>
      <c r="D325" s="100" t="s">
        <v>779</v>
      </c>
      <c r="E325" s="544" t="s">
        <v>1851</v>
      </c>
      <c r="F325" s="105" t="s">
        <v>54</v>
      </c>
      <c r="G325" s="104" t="s">
        <v>13</v>
      </c>
      <c r="H325" s="105" t="s">
        <v>824</v>
      </c>
      <c r="I325" s="99" t="s">
        <v>412</v>
      </c>
      <c r="J325" s="100" t="s">
        <v>117</v>
      </c>
      <c r="K325" s="141" t="s">
        <v>18</v>
      </c>
      <c r="L325" s="177">
        <v>250000</v>
      </c>
      <c r="M325" s="178">
        <v>250000</v>
      </c>
    </row>
    <row r="326" spans="2:13" ht="15" customHeight="1" x14ac:dyDescent="0.2">
      <c r="B326" s="176" t="s">
        <v>726</v>
      </c>
      <c r="C326" s="102">
        <v>37060</v>
      </c>
      <c r="D326" s="100" t="s">
        <v>780</v>
      </c>
      <c r="E326" s="541" t="s">
        <v>733</v>
      </c>
      <c r="F326" s="105" t="s">
        <v>735</v>
      </c>
      <c r="G326" s="104" t="s">
        <v>736</v>
      </c>
      <c r="H326" s="199" t="s">
        <v>1906</v>
      </c>
      <c r="I326" s="99" t="s">
        <v>309</v>
      </c>
      <c r="J326" s="100" t="s">
        <v>345</v>
      </c>
      <c r="K326" s="141" t="s">
        <v>18</v>
      </c>
      <c r="L326" s="177">
        <v>50000</v>
      </c>
      <c r="M326" s="178">
        <v>50000</v>
      </c>
    </row>
    <row r="327" spans="2:13" ht="15" customHeight="1" x14ac:dyDescent="0.2">
      <c r="B327" s="176" t="s">
        <v>727</v>
      </c>
      <c r="C327" s="102">
        <v>37082</v>
      </c>
      <c r="D327" s="100" t="s">
        <v>781</v>
      </c>
      <c r="E327" s="544" t="s">
        <v>1852</v>
      </c>
      <c r="F327" s="105" t="s">
        <v>735</v>
      </c>
      <c r="G327" s="104" t="s">
        <v>736</v>
      </c>
      <c r="H327" s="105" t="s">
        <v>824</v>
      </c>
      <c r="I327" s="99" t="s">
        <v>454</v>
      </c>
      <c r="J327" s="100" t="s">
        <v>738</v>
      </c>
      <c r="K327" s="141" t="s">
        <v>18</v>
      </c>
      <c r="L327" s="177">
        <v>50000</v>
      </c>
      <c r="M327" s="178">
        <v>50000</v>
      </c>
    </row>
    <row r="328" spans="2:13" ht="15" customHeight="1" x14ac:dyDescent="0.2">
      <c r="B328" s="176" t="s">
        <v>728</v>
      </c>
      <c r="C328" s="102">
        <v>37085</v>
      </c>
      <c r="D328" s="100" t="s">
        <v>782</v>
      </c>
      <c r="E328" s="541" t="s">
        <v>734</v>
      </c>
      <c r="F328" s="105" t="s">
        <v>11</v>
      </c>
      <c r="G328" s="104" t="s">
        <v>721</v>
      </c>
      <c r="H328" s="105" t="s">
        <v>824</v>
      </c>
      <c r="I328" s="99" t="s">
        <v>454</v>
      </c>
      <c r="J328" s="100" t="s">
        <v>455</v>
      </c>
      <c r="K328" s="141" t="s">
        <v>18</v>
      </c>
      <c r="L328" s="107">
        <v>23300</v>
      </c>
      <c r="M328" s="101">
        <v>23300</v>
      </c>
    </row>
    <row r="329" spans="2:13" ht="15" customHeight="1" x14ac:dyDescent="0.2">
      <c r="B329" s="176" t="s">
        <v>729</v>
      </c>
      <c r="C329" s="102">
        <v>37090</v>
      </c>
      <c r="D329" s="100" t="s">
        <v>783</v>
      </c>
      <c r="E329" s="544" t="s">
        <v>1760</v>
      </c>
      <c r="F329" s="105" t="s">
        <v>54</v>
      </c>
      <c r="G329" s="104" t="s">
        <v>13</v>
      </c>
      <c r="H329" s="105" t="s">
        <v>824</v>
      </c>
      <c r="I329" s="99" t="s">
        <v>309</v>
      </c>
      <c r="J329" s="100" t="s">
        <v>826</v>
      </c>
      <c r="K329" s="141" t="s">
        <v>18</v>
      </c>
      <c r="L329" s="107">
        <v>20000</v>
      </c>
      <c r="M329" s="101">
        <v>20000</v>
      </c>
    </row>
    <row r="330" spans="2:13" ht="15" customHeight="1" x14ac:dyDescent="0.2">
      <c r="B330" s="176" t="s">
        <v>730</v>
      </c>
      <c r="C330" s="102">
        <v>37097</v>
      </c>
      <c r="D330" s="100" t="s">
        <v>97</v>
      </c>
      <c r="E330" s="544" t="s">
        <v>1761</v>
      </c>
      <c r="F330" s="105" t="s">
        <v>54</v>
      </c>
      <c r="G330" s="104" t="s">
        <v>13</v>
      </c>
      <c r="H330" s="199" t="s">
        <v>1907</v>
      </c>
      <c r="I330" s="99" t="s">
        <v>347</v>
      </c>
      <c r="J330" s="100" t="s">
        <v>280</v>
      </c>
      <c r="K330" s="141" t="s">
        <v>18</v>
      </c>
      <c r="L330" s="107">
        <v>20000</v>
      </c>
      <c r="M330" s="101">
        <v>20000</v>
      </c>
    </row>
    <row r="331" spans="2:13" ht="15" customHeight="1" thickBot="1" x14ac:dyDescent="0.25">
      <c r="B331" s="182" t="s">
        <v>741</v>
      </c>
      <c r="C331" s="111">
        <v>37217</v>
      </c>
      <c r="D331" s="114" t="s">
        <v>97</v>
      </c>
      <c r="E331" s="553" t="s">
        <v>1762</v>
      </c>
      <c r="F331" s="129" t="s">
        <v>54</v>
      </c>
      <c r="G331" s="112" t="s">
        <v>13</v>
      </c>
      <c r="H331" s="210" t="s">
        <v>1908</v>
      </c>
      <c r="I331" s="113" t="s">
        <v>391</v>
      </c>
      <c r="J331" s="114" t="s">
        <v>740</v>
      </c>
      <c r="K331" s="151" t="s">
        <v>18</v>
      </c>
      <c r="L331" s="115">
        <v>200000</v>
      </c>
      <c r="M331" s="183">
        <v>200000</v>
      </c>
    </row>
    <row r="332" spans="2:13" ht="15" customHeight="1" thickTop="1" x14ac:dyDescent="0.2">
      <c r="B332" s="176"/>
      <c r="C332" s="102"/>
      <c r="D332" s="100"/>
      <c r="E332" s="554"/>
      <c r="F332" s="105"/>
      <c r="G332" s="32"/>
      <c r="H332" s="105"/>
      <c r="I332" s="99"/>
      <c r="J332" s="100"/>
      <c r="K332" s="141"/>
      <c r="L332" s="107"/>
      <c r="M332" s="101"/>
    </row>
    <row r="333" spans="2:13" ht="18" x14ac:dyDescent="0.2">
      <c r="B333" s="184">
        <v>2002</v>
      </c>
      <c r="C333" s="104"/>
      <c r="D333" s="100"/>
      <c r="E333" s="555"/>
      <c r="F333" s="173"/>
      <c r="G333" s="104"/>
      <c r="H333" s="181"/>
      <c r="I333" s="53"/>
      <c r="J333" s="174"/>
      <c r="K333" s="185"/>
      <c r="L333" s="107"/>
      <c r="M333" s="132">
        <f>+M334+M338+M343</f>
        <v>1873305.7</v>
      </c>
    </row>
    <row r="334" spans="2:13" x14ac:dyDescent="0.2">
      <c r="B334" s="186" t="s">
        <v>786</v>
      </c>
      <c r="C334" s="187"/>
      <c r="D334" s="192"/>
      <c r="E334" s="556"/>
      <c r="F334" s="190"/>
      <c r="G334" s="187"/>
      <c r="H334" s="193"/>
      <c r="I334" s="189"/>
      <c r="J334" s="194"/>
      <c r="K334" s="185"/>
      <c r="L334" s="195"/>
      <c r="M334" s="110">
        <f>SUM(M335:M336)</f>
        <v>1000000</v>
      </c>
    </row>
    <row r="335" spans="2:13" ht="15" customHeight="1" x14ac:dyDescent="0.2">
      <c r="B335" s="193" t="s">
        <v>1649</v>
      </c>
      <c r="C335" s="196">
        <v>37285</v>
      </c>
      <c r="D335" s="192" t="s">
        <v>786</v>
      </c>
      <c r="E335" s="556" t="s">
        <v>1002</v>
      </c>
      <c r="F335" s="190" t="s">
        <v>54</v>
      </c>
      <c r="G335" s="187" t="s">
        <v>13</v>
      </c>
      <c r="H335" s="197">
        <v>9.1249999999999998E-2</v>
      </c>
      <c r="I335" s="198" t="s">
        <v>787</v>
      </c>
      <c r="J335" s="192" t="s">
        <v>37</v>
      </c>
      <c r="K335" s="199" t="s">
        <v>18</v>
      </c>
      <c r="L335" s="195">
        <v>500000</v>
      </c>
      <c r="M335" s="200">
        <f>+L335</f>
        <v>500000</v>
      </c>
    </row>
    <row r="336" spans="2:13" ht="15" customHeight="1" x14ac:dyDescent="0.2">
      <c r="B336" s="193" t="s">
        <v>814</v>
      </c>
      <c r="C336" s="196">
        <v>37582</v>
      </c>
      <c r="D336" s="192" t="s">
        <v>786</v>
      </c>
      <c r="E336" s="556" t="s">
        <v>1002</v>
      </c>
      <c r="F336" s="190" t="s">
        <v>54</v>
      </c>
      <c r="G336" s="187" t="s">
        <v>13</v>
      </c>
      <c r="H336" s="197">
        <v>9.1249999999999998E-2</v>
      </c>
      <c r="I336" s="198" t="s">
        <v>787</v>
      </c>
      <c r="J336" s="192" t="s">
        <v>309</v>
      </c>
      <c r="K336" s="199" t="s">
        <v>18</v>
      </c>
      <c r="L336" s="195">
        <v>500000</v>
      </c>
      <c r="M336" s="200">
        <f>+L336</f>
        <v>500000</v>
      </c>
    </row>
    <row r="337" spans="2:13" x14ac:dyDescent="0.2">
      <c r="B337" s="201"/>
      <c r="C337" s="187"/>
      <c r="D337" s="192"/>
      <c r="E337" s="556"/>
      <c r="F337" s="190"/>
      <c r="G337" s="187"/>
      <c r="H337" s="193"/>
      <c r="I337" s="189"/>
      <c r="J337" s="194"/>
      <c r="K337" s="185"/>
      <c r="L337" s="195"/>
      <c r="M337" s="188"/>
    </row>
    <row r="338" spans="2:13" x14ac:dyDescent="0.2">
      <c r="B338" s="47" t="s">
        <v>701</v>
      </c>
      <c r="C338" s="187"/>
      <c r="D338" s="192"/>
      <c r="E338" s="556"/>
      <c r="F338" s="190"/>
      <c r="G338" s="187"/>
      <c r="H338" s="193"/>
      <c r="I338" s="189"/>
      <c r="J338" s="194"/>
      <c r="K338" s="185"/>
      <c r="L338" s="195"/>
      <c r="M338" s="110">
        <f>SUM(M339:M341)</f>
        <v>16805.7</v>
      </c>
    </row>
    <row r="339" spans="2:13" ht="15" customHeight="1" x14ac:dyDescent="0.2">
      <c r="B339" s="193" t="s">
        <v>801</v>
      </c>
      <c r="C339" s="202">
        <v>37351</v>
      </c>
      <c r="D339" s="192" t="s">
        <v>784</v>
      </c>
      <c r="E339" s="556" t="s">
        <v>1003</v>
      </c>
      <c r="F339" s="199" t="s">
        <v>739</v>
      </c>
      <c r="G339" s="187" t="s">
        <v>13</v>
      </c>
      <c r="H339" s="203">
        <v>0.01</v>
      </c>
      <c r="I339" s="191" t="s">
        <v>309</v>
      </c>
      <c r="J339" s="192" t="s">
        <v>785</v>
      </c>
      <c r="K339" s="199" t="s">
        <v>18</v>
      </c>
      <c r="L339" s="195">
        <v>10000</v>
      </c>
      <c r="M339" s="200">
        <f>+L339</f>
        <v>10000</v>
      </c>
    </row>
    <row r="340" spans="2:13" ht="15" customHeight="1" x14ac:dyDescent="0.2">
      <c r="B340" s="108" t="s">
        <v>802</v>
      </c>
      <c r="C340" s="196">
        <v>37385</v>
      </c>
      <c r="D340" s="192" t="s">
        <v>600</v>
      </c>
      <c r="E340" s="556" t="s">
        <v>1853</v>
      </c>
      <c r="F340" s="199" t="s">
        <v>88</v>
      </c>
      <c r="G340" s="187" t="s">
        <v>788</v>
      </c>
      <c r="H340" s="203">
        <v>0.02</v>
      </c>
      <c r="I340" s="191" t="s">
        <v>37</v>
      </c>
      <c r="J340" s="192" t="s">
        <v>128</v>
      </c>
      <c r="K340" s="199" t="s">
        <v>790</v>
      </c>
      <c r="L340" s="195">
        <v>5113</v>
      </c>
      <c r="M340" s="200">
        <f>L340*1.1</f>
        <v>5624.3</v>
      </c>
    </row>
    <row r="341" spans="2:13" ht="15" customHeight="1" x14ac:dyDescent="0.2">
      <c r="B341" s="108" t="s">
        <v>803</v>
      </c>
      <c r="C341" s="196">
        <v>37385</v>
      </c>
      <c r="D341" s="192" t="s">
        <v>600</v>
      </c>
      <c r="E341" s="556" t="s">
        <v>1763</v>
      </c>
      <c r="F341" s="199" t="s">
        <v>384</v>
      </c>
      <c r="G341" s="187" t="s">
        <v>789</v>
      </c>
      <c r="H341" s="203">
        <v>0.02</v>
      </c>
      <c r="I341" s="191" t="s">
        <v>37</v>
      </c>
      <c r="J341" s="192" t="s">
        <v>128</v>
      </c>
      <c r="K341" s="199" t="s">
        <v>790</v>
      </c>
      <c r="L341" s="195">
        <v>1074</v>
      </c>
      <c r="M341" s="200">
        <f>L341*1.1</f>
        <v>1181.4000000000001</v>
      </c>
    </row>
    <row r="342" spans="2:13" x14ac:dyDescent="0.2">
      <c r="B342" s="126"/>
      <c r="C342" s="187"/>
      <c r="D342" s="192"/>
      <c r="E342" s="556"/>
      <c r="F342" s="190"/>
      <c r="G342" s="187"/>
      <c r="H342" s="193"/>
      <c r="I342" s="189"/>
      <c r="J342" s="194"/>
      <c r="K342" s="185"/>
      <c r="L342" s="195"/>
      <c r="M342" s="188"/>
    </row>
    <row r="343" spans="2:13" x14ac:dyDescent="0.2">
      <c r="B343" s="47" t="s">
        <v>555</v>
      </c>
      <c r="C343" s="187"/>
      <c r="D343" s="192"/>
      <c r="E343" s="556"/>
      <c r="F343" s="190"/>
      <c r="G343" s="187"/>
      <c r="H343" s="193"/>
      <c r="I343" s="189"/>
      <c r="J343" s="194"/>
      <c r="K343" s="185"/>
      <c r="L343" s="195"/>
      <c r="M343" s="110">
        <f>SUM(M344:M350)</f>
        <v>856500</v>
      </c>
    </row>
    <row r="344" spans="2:13" ht="15" customHeight="1" x14ac:dyDescent="0.2">
      <c r="B344" s="108" t="s">
        <v>791</v>
      </c>
      <c r="C344" s="196">
        <v>37392</v>
      </c>
      <c r="D344" s="192" t="s">
        <v>97</v>
      </c>
      <c r="E344" s="557" t="s">
        <v>1764</v>
      </c>
      <c r="F344" s="199" t="s">
        <v>384</v>
      </c>
      <c r="G344" s="187" t="s">
        <v>794</v>
      </c>
      <c r="H344" s="203" t="s">
        <v>1910</v>
      </c>
      <c r="I344" s="191" t="s">
        <v>408</v>
      </c>
      <c r="J344" s="192" t="s">
        <v>740</v>
      </c>
      <c r="K344" s="199" t="s">
        <v>18</v>
      </c>
      <c r="L344" s="195">
        <v>250000</v>
      </c>
      <c r="M344" s="200">
        <f t="shared" ref="M344:M350" si="0">+L344</f>
        <v>250000</v>
      </c>
    </row>
    <row r="345" spans="2:13" ht="15" customHeight="1" x14ac:dyDescent="0.2">
      <c r="B345" s="108" t="s">
        <v>792</v>
      </c>
      <c r="C345" s="196">
        <v>37432</v>
      </c>
      <c r="D345" s="192" t="s">
        <v>793</v>
      </c>
      <c r="E345" s="556" t="s">
        <v>1004</v>
      </c>
      <c r="F345" s="199" t="s">
        <v>54</v>
      </c>
      <c r="G345" s="187" t="s">
        <v>13</v>
      </c>
      <c r="H345" s="203" t="s">
        <v>1651</v>
      </c>
      <c r="I345" s="191" t="s">
        <v>579</v>
      </c>
      <c r="J345" s="192" t="s">
        <v>795</v>
      </c>
      <c r="K345" s="199" t="s">
        <v>18</v>
      </c>
      <c r="L345" s="195">
        <v>300000</v>
      </c>
      <c r="M345" s="200">
        <f t="shared" si="0"/>
        <v>300000</v>
      </c>
    </row>
    <row r="346" spans="2:13" ht="15" customHeight="1" x14ac:dyDescent="0.2">
      <c r="B346" s="108" t="s">
        <v>804</v>
      </c>
      <c r="C346" s="196" t="s">
        <v>805</v>
      </c>
      <c r="D346" s="192" t="s">
        <v>827</v>
      </c>
      <c r="E346" s="556" t="s">
        <v>1765</v>
      </c>
      <c r="F346" s="199" t="s">
        <v>679</v>
      </c>
      <c r="G346" s="187" t="s">
        <v>178</v>
      </c>
      <c r="H346" s="203" t="s">
        <v>1651</v>
      </c>
      <c r="I346" s="191" t="s">
        <v>806</v>
      </c>
      <c r="J346" s="192" t="s">
        <v>807</v>
      </c>
      <c r="K346" s="199" t="s">
        <v>18</v>
      </c>
      <c r="L346" s="195">
        <v>150000</v>
      </c>
      <c r="M346" s="200">
        <f t="shared" si="0"/>
        <v>150000</v>
      </c>
    </row>
    <row r="347" spans="2:13" ht="15" customHeight="1" x14ac:dyDescent="0.2">
      <c r="B347" s="108" t="s">
        <v>808</v>
      </c>
      <c r="C347" s="196" t="s">
        <v>809</v>
      </c>
      <c r="D347" s="192" t="s">
        <v>828</v>
      </c>
      <c r="E347" s="556" t="s">
        <v>1766</v>
      </c>
      <c r="F347" s="199" t="s">
        <v>679</v>
      </c>
      <c r="G347" s="187" t="s">
        <v>810</v>
      </c>
      <c r="H347" s="203" t="s">
        <v>1911</v>
      </c>
      <c r="I347" s="191" t="s">
        <v>443</v>
      </c>
      <c r="J347" s="192" t="s">
        <v>280</v>
      </c>
      <c r="K347" s="199" t="s">
        <v>18</v>
      </c>
      <c r="L347" s="195">
        <v>50000</v>
      </c>
      <c r="M347" s="200">
        <f t="shared" si="0"/>
        <v>50000</v>
      </c>
    </row>
    <row r="348" spans="2:13" ht="15" customHeight="1" x14ac:dyDescent="0.2">
      <c r="B348" s="108" t="s">
        <v>811</v>
      </c>
      <c r="C348" s="196" t="s">
        <v>812</v>
      </c>
      <c r="D348" s="192" t="s">
        <v>829</v>
      </c>
      <c r="E348" s="556" t="s">
        <v>1005</v>
      </c>
      <c r="F348" s="199" t="s">
        <v>54</v>
      </c>
      <c r="G348" s="187" t="s">
        <v>817</v>
      </c>
      <c r="H348" s="203" t="s">
        <v>1909</v>
      </c>
      <c r="I348" s="191" t="s">
        <v>309</v>
      </c>
      <c r="J348" s="192" t="s">
        <v>345</v>
      </c>
      <c r="K348" s="199" t="s">
        <v>18</v>
      </c>
      <c r="L348" s="195">
        <v>100000</v>
      </c>
      <c r="M348" s="200">
        <f t="shared" si="0"/>
        <v>100000</v>
      </c>
    </row>
    <row r="349" spans="2:13" ht="15" customHeight="1" x14ac:dyDescent="0.2">
      <c r="B349" s="108" t="s">
        <v>815</v>
      </c>
      <c r="C349" s="196">
        <v>37580</v>
      </c>
      <c r="D349" s="192" t="s">
        <v>830</v>
      </c>
      <c r="E349" s="556" t="s">
        <v>1767</v>
      </c>
      <c r="F349" s="199" t="s">
        <v>54</v>
      </c>
      <c r="G349" s="187" t="s">
        <v>817</v>
      </c>
      <c r="H349" s="203" t="s">
        <v>1912</v>
      </c>
      <c r="I349" s="198" t="s">
        <v>787</v>
      </c>
      <c r="J349" s="192" t="s">
        <v>309</v>
      </c>
      <c r="K349" s="199" t="s">
        <v>18</v>
      </c>
      <c r="L349" s="195">
        <v>1500</v>
      </c>
      <c r="M349" s="200">
        <f t="shared" si="0"/>
        <v>1500</v>
      </c>
    </row>
    <row r="350" spans="2:13" ht="15" customHeight="1" thickBot="1" x14ac:dyDescent="0.25">
      <c r="B350" s="204" t="s">
        <v>816</v>
      </c>
      <c r="C350" s="205">
        <v>37594</v>
      </c>
      <c r="D350" s="207" t="s">
        <v>831</v>
      </c>
      <c r="E350" s="558" t="s">
        <v>1768</v>
      </c>
      <c r="F350" s="210" t="s">
        <v>818</v>
      </c>
      <c r="G350" s="206" t="s">
        <v>818</v>
      </c>
      <c r="H350" s="208" t="s">
        <v>1651</v>
      </c>
      <c r="I350" s="209" t="s">
        <v>787</v>
      </c>
      <c r="J350" s="207" t="s">
        <v>819</v>
      </c>
      <c r="K350" s="210" t="s">
        <v>18</v>
      </c>
      <c r="L350" s="211">
        <v>5000</v>
      </c>
      <c r="M350" s="212">
        <f t="shared" si="0"/>
        <v>5000</v>
      </c>
    </row>
    <row r="351" spans="2:13" ht="15" customHeight="1" thickTop="1" x14ac:dyDescent="0.2">
      <c r="B351" s="613"/>
      <c r="C351" s="495"/>
      <c r="D351" s="192"/>
      <c r="E351" s="556"/>
      <c r="F351" s="191"/>
      <c r="G351" s="187"/>
      <c r="H351" s="230"/>
      <c r="I351" s="198"/>
      <c r="J351" s="192"/>
      <c r="K351" s="191"/>
      <c r="L351" s="195"/>
      <c r="M351" s="496"/>
    </row>
    <row r="352" spans="2:13" ht="18" x14ac:dyDescent="0.2">
      <c r="B352" s="614">
        <v>2003</v>
      </c>
      <c r="C352" s="104"/>
      <c r="D352" s="100"/>
      <c r="E352" s="559"/>
      <c r="F352" s="213"/>
      <c r="G352" s="104"/>
      <c r="H352" s="162"/>
      <c r="I352" s="53"/>
      <c r="J352" s="174"/>
      <c r="K352" s="175"/>
      <c r="L352" s="107"/>
      <c r="M352" s="132">
        <f>+M353+M358</f>
        <v>2531159</v>
      </c>
    </row>
    <row r="353" spans="2:13" x14ac:dyDescent="0.2">
      <c r="B353" s="615" t="s">
        <v>786</v>
      </c>
      <c r="C353" s="104"/>
      <c r="D353" s="100"/>
      <c r="E353" s="559"/>
      <c r="F353" s="213"/>
      <c r="G353" s="104"/>
      <c r="H353" s="162"/>
      <c r="I353" s="53"/>
      <c r="J353" s="174"/>
      <c r="K353" s="175"/>
      <c r="L353" s="107"/>
      <c r="M353" s="110">
        <f>SUM(M354:M356)</f>
        <v>1250000</v>
      </c>
    </row>
    <row r="354" spans="2:13" ht="15" customHeight="1" x14ac:dyDescent="0.2">
      <c r="B354" s="135" t="s">
        <v>865</v>
      </c>
      <c r="C354" s="102">
        <v>37644</v>
      </c>
      <c r="D354" s="100" t="s">
        <v>786</v>
      </c>
      <c r="E354" s="560" t="s">
        <v>1002</v>
      </c>
      <c r="F354" s="213" t="s">
        <v>54</v>
      </c>
      <c r="G354" s="104" t="s">
        <v>13</v>
      </c>
      <c r="H354" s="517">
        <v>9.8750000000000004E-2</v>
      </c>
      <c r="I354" s="79" t="s">
        <v>787</v>
      </c>
      <c r="J354" s="214" t="s">
        <v>345</v>
      </c>
      <c r="K354" s="215" t="s">
        <v>18</v>
      </c>
      <c r="L354" s="107">
        <v>500000</v>
      </c>
      <c r="M354" s="101">
        <f>+L354</f>
        <v>500000</v>
      </c>
    </row>
    <row r="355" spans="2:13" ht="15" customHeight="1" x14ac:dyDescent="0.2">
      <c r="B355" s="135" t="s">
        <v>866</v>
      </c>
      <c r="C355" s="102">
        <v>37682</v>
      </c>
      <c r="D355" s="100" t="s">
        <v>786</v>
      </c>
      <c r="E355" s="560" t="s">
        <v>1002</v>
      </c>
      <c r="F355" s="213" t="s">
        <v>54</v>
      </c>
      <c r="G355" s="104" t="s">
        <v>13</v>
      </c>
      <c r="H355" s="517">
        <v>9.8750000000000004E-2</v>
      </c>
      <c r="I355" s="79" t="s">
        <v>787</v>
      </c>
      <c r="J355" s="214" t="s">
        <v>345</v>
      </c>
      <c r="K355" s="215" t="s">
        <v>18</v>
      </c>
      <c r="L355" s="143">
        <v>250000</v>
      </c>
      <c r="M355" s="144">
        <f>+L355</f>
        <v>250000</v>
      </c>
    </row>
    <row r="356" spans="2:13" ht="15" customHeight="1" x14ac:dyDescent="0.2">
      <c r="B356" s="135" t="s">
        <v>896</v>
      </c>
      <c r="C356" s="102">
        <v>37939</v>
      </c>
      <c r="D356" s="100" t="s">
        <v>786</v>
      </c>
      <c r="E356" s="560" t="s">
        <v>1002</v>
      </c>
      <c r="F356" s="213" t="s">
        <v>54</v>
      </c>
      <c r="G356" s="104" t="s">
        <v>13</v>
      </c>
      <c r="H356" s="517">
        <v>8.7499999999999994E-2</v>
      </c>
      <c r="I356" s="79" t="s">
        <v>787</v>
      </c>
      <c r="J356" s="214" t="s">
        <v>172</v>
      </c>
      <c r="K356" s="215" t="s">
        <v>18</v>
      </c>
      <c r="L356" s="143">
        <v>500000</v>
      </c>
      <c r="M356" s="144">
        <v>500000</v>
      </c>
    </row>
    <row r="357" spans="2:13" x14ac:dyDescent="0.2">
      <c r="B357" s="616"/>
      <c r="C357" s="104"/>
      <c r="D357" s="100"/>
      <c r="E357" s="559"/>
      <c r="F357" s="213"/>
      <c r="G357" s="104"/>
      <c r="H357" s="191"/>
      <c r="I357" s="99"/>
      <c r="J357" s="214"/>
      <c r="K357" s="216"/>
      <c r="L357" s="143"/>
      <c r="M357" s="139"/>
    </row>
    <row r="358" spans="2:13" x14ac:dyDescent="0.2">
      <c r="B358" s="615" t="s">
        <v>555</v>
      </c>
      <c r="C358" s="104"/>
      <c r="D358" s="100"/>
      <c r="E358" s="559"/>
      <c r="F358" s="213"/>
      <c r="G358" s="104"/>
      <c r="H358" s="191"/>
      <c r="I358" s="99"/>
      <c r="J358" s="214"/>
      <c r="K358" s="216"/>
      <c r="L358" s="143"/>
      <c r="M358" s="110">
        <f>SUM(M359:M376)</f>
        <v>1281159</v>
      </c>
    </row>
    <row r="359" spans="2:13" ht="15" customHeight="1" x14ac:dyDescent="0.2">
      <c r="B359" s="135" t="s">
        <v>891</v>
      </c>
      <c r="C359" s="104" t="s">
        <v>892</v>
      </c>
      <c r="D359" s="100" t="s">
        <v>1345</v>
      </c>
      <c r="E359" s="560" t="s">
        <v>1854</v>
      </c>
      <c r="F359" s="213" t="s">
        <v>893</v>
      </c>
      <c r="G359" s="104" t="s">
        <v>894</v>
      </c>
      <c r="H359" s="203" t="s">
        <v>1913</v>
      </c>
      <c r="I359" s="99" t="s">
        <v>806</v>
      </c>
      <c r="J359" s="214" t="s">
        <v>550</v>
      </c>
      <c r="K359" s="218" t="s">
        <v>18</v>
      </c>
      <c r="L359" s="143">
        <v>5000</v>
      </c>
      <c r="M359" s="144">
        <v>5000</v>
      </c>
    </row>
    <row r="360" spans="2:13" ht="15" customHeight="1" x14ac:dyDescent="0.2">
      <c r="B360" s="135" t="s">
        <v>867</v>
      </c>
      <c r="C360" s="102">
        <v>37687</v>
      </c>
      <c r="D360" s="334" t="s">
        <v>1346</v>
      </c>
      <c r="E360" s="556" t="s">
        <v>1769</v>
      </c>
      <c r="F360" s="219" t="s">
        <v>384</v>
      </c>
      <c r="G360" s="104" t="s">
        <v>879</v>
      </c>
      <c r="H360" s="203" t="s">
        <v>1650</v>
      </c>
      <c r="I360" s="99" t="s">
        <v>356</v>
      </c>
      <c r="J360" s="100" t="s">
        <v>347</v>
      </c>
      <c r="K360" s="219" t="s">
        <v>18</v>
      </c>
      <c r="L360" s="107">
        <v>8300</v>
      </c>
      <c r="M360" s="101">
        <v>8300</v>
      </c>
    </row>
    <row r="361" spans="2:13" ht="15" customHeight="1" x14ac:dyDescent="0.2">
      <c r="B361" s="135" t="s">
        <v>868</v>
      </c>
      <c r="C361" s="102">
        <v>37748</v>
      </c>
      <c r="D361" s="334" t="s">
        <v>880</v>
      </c>
      <c r="E361" s="556" t="s">
        <v>1855</v>
      </c>
      <c r="F361" s="220" t="s">
        <v>54</v>
      </c>
      <c r="G361" s="104" t="s">
        <v>881</v>
      </c>
      <c r="H361" s="203" t="s">
        <v>1913</v>
      </c>
      <c r="I361" s="99" t="s">
        <v>834</v>
      </c>
      <c r="J361" s="100" t="s">
        <v>309</v>
      </c>
      <c r="K361" s="219" t="s">
        <v>18</v>
      </c>
      <c r="L361" s="107">
        <v>75</v>
      </c>
      <c r="M361" s="101">
        <v>750</v>
      </c>
    </row>
    <row r="362" spans="2:13" ht="15" customHeight="1" x14ac:dyDescent="0.2">
      <c r="B362" s="135" t="s">
        <v>869</v>
      </c>
      <c r="C362" s="102">
        <v>37762</v>
      </c>
      <c r="D362" s="334" t="s">
        <v>882</v>
      </c>
      <c r="E362" s="556" t="s">
        <v>1856</v>
      </c>
      <c r="F362" s="99" t="s">
        <v>384</v>
      </c>
      <c r="G362" s="104" t="s">
        <v>883</v>
      </c>
      <c r="H362" s="203" t="s">
        <v>1913</v>
      </c>
      <c r="I362" s="99" t="s">
        <v>806</v>
      </c>
      <c r="J362" s="100" t="s">
        <v>884</v>
      </c>
      <c r="K362" s="219" t="s">
        <v>18</v>
      </c>
      <c r="L362" s="107">
        <v>7000</v>
      </c>
      <c r="M362" s="101">
        <v>7000</v>
      </c>
    </row>
    <row r="363" spans="2:13" ht="15" customHeight="1" x14ac:dyDescent="0.2">
      <c r="B363" s="135" t="s">
        <v>870</v>
      </c>
      <c r="C363" s="102">
        <v>37790</v>
      </c>
      <c r="D363" s="334" t="s">
        <v>885</v>
      </c>
      <c r="E363" s="561" t="s">
        <v>1042</v>
      </c>
      <c r="F363" s="99" t="s">
        <v>679</v>
      </c>
      <c r="G363" s="104" t="s">
        <v>886</v>
      </c>
      <c r="H363" s="203" t="s">
        <v>1913</v>
      </c>
      <c r="I363" s="99" t="s">
        <v>806</v>
      </c>
      <c r="J363" s="100" t="s">
        <v>550</v>
      </c>
      <c r="K363" s="219" t="s">
        <v>18</v>
      </c>
      <c r="L363" s="107">
        <v>60000</v>
      </c>
      <c r="M363" s="101">
        <v>60000</v>
      </c>
    </row>
    <row r="364" spans="2:13" ht="15" customHeight="1" x14ac:dyDescent="0.2">
      <c r="B364" s="135" t="s">
        <v>871</v>
      </c>
      <c r="C364" s="102">
        <v>37829</v>
      </c>
      <c r="D364" s="334" t="s">
        <v>1347</v>
      </c>
      <c r="E364" s="556" t="s">
        <v>1857</v>
      </c>
      <c r="F364" s="99" t="s">
        <v>679</v>
      </c>
      <c r="G364" s="104" t="s">
        <v>887</v>
      </c>
      <c r="H364" s="203" t="s">
        <v>1913</v>
      </c>
      <c r="I364" s="99" t="s">
        <v>834</v>
      </c>
      <c r="J364" s="100" t="s">
        <v>309</v>
      </c>
      <c r="K364" s="219" t="s">
        <v>18</v>
      </c>
      <c r="L364" s="107">
        <v>750</v>
      </c>
      <c r="M364" s="101">
        <v>750</v>
      </c>
    </row>
    <row r="365" spans="2:13" ht="15" customHeight="1" x14ac:dyDescent="0.2">
      <c r="B365" s="135" t="s">
        <v>872</v>
      </c>
      <c r="C365" s="102">
        <v>37853</v>
      </c>
      <c r="D365" s="334" t="s">
        <v>1348</v>
      </c>
      <c r="E365" s="556" t="s">
        <v>1770</v>
      </c>
      <c r="F365" s="99" t="s">
        <v>384</v>
      </c>
      <c r="G365" s="104" t="s">
        <v>888</v>
      </c>
      <c r="H365" s="203" t="s">
        <v>1650</v>
      </c>
      <c r="I365" s="99" t="s">
        <v>578</v>
      </c>
      <c r="J365" s="100" t="s">
        <v>37</v>
      </c>
      <c r="K365" s="219" t="s">
        <v>18</v>
      </c>
      <c r="L365" s="107">
        <v>172000</v>
      </c>
      <c r="M365" s="101">
        <v>172000</v>
      </c>
    </row>
    <row r="366" spans="2:13" ht="15" customHeight="1" x14ac:dyDescent="0.2">
      <c r="B366" s="135" t="s">
        <v>873</v>
      </c>
      <c r="C366" s="102">
        <v>37860</v>
      </c>
      <c r="D366" s="334" t="s">
        <v>1349</v>
      </c>
      <c r="E366" s="556" t="s">
        <v>1771</v>
      </c>
      <c r="F366" s="99" t="s">
        <v>384</v>
      </c>
      <c r="G366" s="104" t="s">
        <v>881</v>
      </c>
      <c r="H366" s="199" t="s">
        <v>890</v>
      </c>
      <c r="I366" s="99" t="s">
        <v>443</v>
      </c>
      <c r="J366" s="100" t="s">
        <v>280</v>
      </c>
      <c r="K366" s="219" t="s">
        <v>18</v>
      </c>
      <c r="L366" s="107">
        <v>20000</v>
      </c>
      <c r="M366" s="101">
        <v>20000</v>
      </c>
    </row>
    <row r="367" spans="2:13" ht="15" customHeight="1" x14ac:dyDescent="0.2">
      <c r="B367" s="135" t="s">
        <v>874</v>
      </c>
      <c r="C367" s="102" t="s">
        <v>877</v>
      </c>
      <c r="D367" s="334" t="s">
        <v>1350</v>
      </c>
      <c r="E367" s="561" t="s">
        <v>1043</v>
      </c>
      <c r="F367" s="99" t="s">
        <v>384</v>
      </c>
      <c r="G367" s="104" t="s">
        <v>881</v>
      </c>
      <c r="H367" s="203" t="s">
        <v>1913</v>
      </c>
      <c r="I367" s="99" t="s">
        <v>309</v>
      </c>
      <c r="J367" s="100" t="s">
        <v>185</v>
      </c>
      <c r="K367" s="219" t="s">
        <v>18</v>
      </c>
      <c r="L367" s="107">
        <v>28000</v>
      </c>
      <c r="M367" s="101">
        <v>28000</v>
      </c>
    </row>
    <row r="368" spans="2:13" ht="15" customHeight="1" x14ac:dyDescent="0.2">
      <c r="B368" s="135" t="s">
        <v>875</v>
      </c>
      <c r="C368" s="102" t="s">
        <v>878</v>
      </c>
      <c r="D368" s="334" t="s">
        <v>1351</v>
      </c>
      <c r="E368" s="556" t="s">
        <v>1772</v>
      </c>
      <c r="F368" s="99" t="s">
        <v>679</v>
      </c>
      <c r="G368" s="104" t="s">
        <v>889</v>
      </c>
      <c r="H368" s="199" t="s">
        <v>890</v>
      </c>
      <c r="I368" s="99" t="s">
        <v>443</v>
      </c>
      <c r="J368" s="100" t="s">
        <v>280</v>
      </c>
      <c r="K368" s="219" t="s">
        <v>18</v>
      </c>
      <c r="L368" s="107">
        <v>52500</v>
      </c>
      <c r="M368" s="101">
        <v>52500</v>
      </c>
    </row>
    <row r="369" spans="2:13" ht="15" customHeight="1" x14ac:dyDescent="0.2">
      <c r="B369" s="135" t="s">
        <v>876</v>
      </c>
      <c r="C369" s="102" t="s">
        <v>878</v>
      </c>
      <c r="D369" s="334" t="s">
        <v>1353</v>
      </c>
      <c r="E369" s="556" t="s">
        <v>1858</v>
      </c>
      <c r="F369" s="99" t="s">
        <v>384</v>
      </c>
      <c r="G369" s="104" t="s">
        <v>13</v>
      </c>
      <c r="H369" s="203" t="s">
        <v>1650</v>
      </c>
      <c r="I369" s="99" t="s">
        <v>408</v>
      </c>
      <c r="J369" s="100" t="s">
        <v>740</v>
      </c>
      <c r="K369" s="219" t="s">
        <v>18</v>
      </c>
      <c r="L369" s="107">
        <v>115000</v>
      </c>
      <c r="M369" s="101">
        <v>115000</v>
      </c>
    </row>
    <row r="370" spans="2:13" ht="15" customHeight="1" x14ac:dyDescent="0.2">
      <c r="B370" s="135" t="s">
        <v>876</v>
      </c>
      <c r="C370" s="102" t="s">
        <v>878</v>
      </c>
      <c r="D370" s="334" t="s">
        <v>1352</v>
      </c>
      <c r="E370" s="556" t="s">
        <v>1858</v>
      </c>
      <c r="F370" s="99" t="s">
        <v>384</v>
      </c>
      <c r="G370" s="104" t="s">
        <v>13</v>
      </c>
      <c r="H370" s="203" t="s">
        <v>1650</v>
      </c>
      <c r="I370" s="99" t="s">
        <v>408</v>
      </c>
      <c r="J370" s="100" t="s">
        <v>740</v>
      </c>
      <c r="K370" s="219" t="s">
        <v>18</v>
      </c>
      <c r="L370" s="107">
        <v>113000</v>
      </c>
      <c r="M370" s="101">
        <v>113000</v>
      </c>
    </row>
    <row r="371" spans="2:13" ht="15" customHeight="1" x14ac:dyDescent="0.2">
      <c r="B371" s="135" t="s">
        <v>897</v>
      </c>
      <c r="C371" s="102">
        <v>37939</v>
      </c>
      <c r="D371" s="334" t="s">
        <v>1354</v>
      </c>
      <c r="E371" s="561" t="s">
        <v>1044</v>
      </c>
      <c r="F371" s="99" t="s">
        <v>54</v>
      </c>
      <c r="G371" s="104" t="s">
        <v>951</v>
      </c>
      <c r="H371" s="199" t="s">
        <v>890</v>
      </c>
      <c r="I371" s="99" t="s">
        <v>443</v>
      </c>
      <c r="J371" s="100" t="s">
        <v>289</v>
      </c>
      <c r="K371" s="219" t="s">
        <v>18</v>
      </c>
      <c r="L371" s="107">
        <v>150000</v>
      </c>
      <c r="M371" s="101">
        <v>150000</v>
      </c>
    </row>
    <row r="372" spans="2:13" ht="15" customHeight="1" x14ac:dyDescent="0.2">
      <c r="B372" s="135" t="s">
        <v>898</v>
      </c>
      <c r="C372" s="102">
        <v>37957</v>
      </c>
      <c r="D372" s="334" t="s">
        <v>1355</v>
      </c>
      <c r="E372" s="561" t="s">
        <v>1045</v>
      </c>
      <c r="F372" s="99" t="s">
        <v>54</v>
      </c>
      <c r="G372" s="104" t="s">
        <v>13</v>
      </c>
      <c r="H372" s="203" t="s">
        <v>1913</v>
      </c>
      <c r="I372" s="99" t="s">
        <v>309</v>
      </c>
      <c r="J372" s="100" t="s">
        <v>185</v>
      </c>
      <c r="K372" s="219" t="s">
        <v>18</v>
      </c>
      <c r="L372" s="107">
        <v>300000</v>
      </c>
      <c r="M372" s="101">
        <v>300000</v>
      </c>
    </row>
    <row r="373" spans="2:13" ht="15" customHeight="1" x14ac:dyDescent="0.2">
      <c r="B373" s="135" t="s">
        <v>899</v>
      </c>
      <c r="C373" s="102">
        <v>37957</v>
      </c>
      <c r="D373" s="334" t="s">
        <v>1356</v>
      </c>
      <c r="E373" s="556" t="s">
        <v>1773</v>
      </c>
      <c r="F373" s="99" t="s">
        <v>54</v>
      </c>
      <c r="G373" s="104" t="s">
        <v>951</v>
      </c>
      <c r="H373" s="199" t="s">
        <v>890</v>
      </c>
      <c r="I373" s="99" t="s">
        <v>443</v>
      </c>
      <c r="J373" s="100" t="s">
        <v>280</v>
      </c>
      <c r="K373" s="219" t="s">
        <v>18</v>
      </c>
      <c r="L373" s="107">
        <v>150000</v>
      </c>
      <c r="M373" s="101">
        <v>150000</v>
      </c>
    </row>
    <row r="374" spans="2:13" ht="15" customHeight="1" x14ac:dyDescent="0.2">
      <c r="B374" s="135" t="s">
        <v>900</v>
      </c>
      <c r="C374" s="102">
        <v>37974</v>
      </c>
      <c r="D374" s="334" t="s">
        <v>1357</v>
      </c>
      <c r="E374" s="561" t="s">
        <v>1046</v>
      </c>
      <c r="F374" s="99" t="s">
        <v>393</v>
      </c>
      <c r="G374" s="104" t="s">
        <v>393</v>
      </c>
      <c r="H374" s="203" t="s">
        <v>1913</v>
      </c>
      <c r="I374" s="99" t="s">
        <v>347</v>
      </c>
      <c r="J374" s="100" t="s">
        <v>245</v>
      </c>
      <c r="K374" s="219" t="s">
        <v>18</v>
      </c>
      <c r="L374" s="107">
        <v>8859</v>
      </c>
      <c r="M374" s="101">
        <v>8859</v>
      </c>
    </row>
    <row r="375" spans="2:13" ht="15" customHeight="1" x14ac:dyDescent="0.2">
      <c r="B375" s="135" t="s">
        <v>901</v>
      </c>
      <c r="C375" s="102">
        <v>37985</v>
      </c>
      <c r="D375" s="334" t="s">
        <v>1358</v>
      </c>
      <c r="E375" s="561" t="s">
        <v>1047</v>
      </c>
      <c r="F375" s="99" t="s">
        <v>902</v>
      </c>
      <c r="G375" s="104" t="s">
        <v>902</v>
      </c>
      <c r="H375" s="203" t="s">
        <v>1913</v>
      </c>
      <c r="I375" s="99" t="s">
        <v>309</v>
      </c>
      <c r="J375" s="100" t="s">
        <v>128</v>
      </c>
      <c r="K375" s="219" t="s">
        <v>18</v>
      </c>
      <c r="L375" s="107">
        <v>45000</v>
      </c>
      <c r="M375" s="101">
        <v>45000</v>
      </c>
    </row>
    <row r="376" spans="2:13" ht="15" customHeight="1" x14ac:dyDescent="0.2">
      <c r="B376" s="135" t="s">
        <v>901</v>
      </c>
      <c r="C376" s="102">
        <v>37985</v>
      </c>
      <c r="D376" s="334" t="s">
        <v>1359</v>
      </c>
      <c r="E376" s="561" t="s">
        <v>1047</v>
      </c>
      <c r="F376" s="99" t="s">
        <v>902</v>
      </c>
      <c r="G376" s="104" t="s">
        <v>902</v>
      </c>
      <c r="H376" s="199" t="s">
        <v>890</v>
      </c>
      <c r="I376" s="99" t="s">
        <v>309</v>
      </c>
      <c r="J376" s="100" t="s">
        <v>185</v>
      </c>
      <c r="K376" s="219" t="s">
        <v>18</v>
      </c>
      <c r="L376" s="107">
        <v>45000</v>
      </c>
      <c r="M376" s="101">
        <v>45000</v>
      </c>
    </row>
    <row r="377" spans="2:13" ht="13.5" thickBot="1" x14ac:dyDescent="0.25">
      <c r="B377" s="148"/>
      <c r="C377" s="111"/>
      <c r="D377" s="330"/>
      <c r="E377" s="562"/>
      <c r="F377" s="113"/>
      <c r="G377" s="112"/>
      <c r="H377" s="113"/>
      <c r="I377" s="113"/>
      <c r="J377" s="114"/>
      <c r="K377" s="222"/>
      <c r="L377" s="115"/>
      <c r="M377" s="183"/>
    </row>
    <row r="378" spans="2:13" ht="13.5" thickTop="1" x14ac:dyDescent="0.2">
      <c r="B378" s="485"/>
      <c r="C378" s="223"/>
      <c r="D378" s="499"/>
      <c r="E378" s="563"/>
      <c r="F378" s="34"/>
      <c r="G378" s="32"/>
      <c r="H378" s="34"/>
      <c r="I378" s="34"/>
      <c r="J378" s="35"/>
      <c r="K378" s="225"/>
      <c r="L378" s="171"/>
      <c r="M378" s="497"/>
    </row>
    <row r="379" spans="2:13" ht="18" x14ac:dyDescent="0.2">
      <c r="B379" s="117">
        <v>2004</v>
      </c>
      <c r="C379" s="102"/>
      <c r="D379" s="334"/>
      <c r="E379" s="564"/>
      <c r="F379" s="99"/>
      <c r="G379" s="104"/>
      <c r="H379" s="99"/>
      <c r="I379" s="99"/>
      <c r="J379" s="100"/>
      <c r="K379" s="219"/>
      <c r="L379" s="107"/>
      <c r="M379" s="132">
        <f>+M380+M384+M390</f>
        <v>2383968.7229946293</v>
      </c>
    </row>
    <row r="380" spans="2:13" x14ac:dyDescent="0.2">
      <c r="B380" s="186" t="s">
        <v>786</v>
      </c>
      <c r="C380" s="196"/>
      <c r="D380" s="227"/>
      <c r="E380" s="565"/>
      <c r="F380" s="191"/>
      <c r="G380" s="187"/>
      <c r="H380" s="191"/>
      <c r="I380" s="191"/>
      <c r="J380" s="192"/>
      <c r="K380" s="9"/>
      <c r="L380" s="195"/>
      <c r="M380" s="110">
        <f>SUM(M381:M382)</f>
        <v>1298850</v>
      </c>
    </row>
    <row r="381" spans="2:13" ht="15" customHeight="1" x14ac:dyDescent="0.2">
      <c r="B381" s="108" t="s">
        <v>903</v>
      </c>
      <c r="C381" s="202">
        <v>38104</v>
      </c>
      <c r="D381" s="227" t="s">
        <v>904</v>
      </c>
      <c r="E381" s="565" t="s">
        <v>905</v>
      </c>
      <c r="F381" s="228" t="s">
        <v>54</v>
      </c>
      <c r="G381" s="187" t="s">
        <v>13</v>
      </c>
      <c r="H381" s="229">
        <v>8.3750000000000005E-2</v>
      </c>
      <c r="I381" s="230" t="s">
        <v>787</v>
      </c>
      <c r="J381" s="231" t="s">
        <v>1652</v>
      </c>
      <c r="K381" s="232" t="s">
        <v>18</v>
      </c>
      <c r="L381" s="195">
        <v>500000</v>
      </c>
      <c r="M381" s="200">
        <f>L381</f>
        <v>500000</v>
      </c>
    </row>
    <row r="382" spans="2:13" ht="15" customHeight="1" x14ac:dyDescent="0.2">
      <c r="B382" s="108" t="s">
        <v>906</v>
      </c>
      <c r="C382" s="202">
        <v>38268</v>
      </c>
      <c r="D382" s="227" t="s">
        <v>904</v>
      </c>
      <c r="E382" s="565" t="s">
        <v>905</v>
      </c>
      <c r="F382" s="228" t="s">
        <v>54</v>
      </c>
      <c r="G382" s="187" t="s">
        <v>13</v>
      </c>
      <c r="H382" s="233">
        <v>7.4999999999999997E-2</v>
      </c>
      <c r="I382" s="230" t="s">
        <v>787</v>
      </c>
      <c r="J382" s="231" t="s">
        <v>907</v>
      </c>
      <c r="K382" s="232" t="s">
        <v>790</v>
      </c>
      <c r="L382" s="234">
        <f>650000000/1000</f>
        <v>650000</v>
      </c>
      <c r="M382" s="200">
        <f>L382*1.229</f>
        <v>798850.00000000012</v>
      </c>
    </row>
    <row r="383" spans="2:13" x14ac:dyDescent="0.2">
      <c r="B383" s="108"/>
      <c r="C383" s="196"/>
      <c r="D383" s="227"/>
      <c r="E383" s="565"/>
      <c r="F383" s="191"/>
      <c r="G383" s="187"/>
      <c r="H383" s="191"/>
      <c r="I383" s="191"/>
      <c r="J383" s="192"/>
      <c r="K383" s="9"/>
      <c r="L383" s="195"/>
      <c r="M383" s="200"/>
    </row>
    <row r="384" spans="2:13" x14ac:dyDescent="0.2">
      <c r="B384" s="47" t="s">
        <v>701</v>
      </c>
      <c r="C384" s="196"/>
      <c r="D384" s="227"/>
      <c r="E384" s="565"/>
      <c r="F384" s="191"/>
      <c r="G384" s="187"/>
      <c r="H384" s="191"/>
      <c r="I384" s="191"/>
      <c r="J384" s="192"/>
      <c r="K384" s="9"/>
      <c r="L384" s="195"/>
      <c r="M384" s="110">
        <f>SUM(M385:M388)</f>
        <v>25639.492994628999</v>
      </c>
    </row>
    <row r="385" spans="2:13" ht="15" customHeight="1" x14ac:dyDescent="0.2">
      <c r="B385" s="108" t="s">
        <v>908</v>
      </c>
      <c r="C385" s="202">
        <v>38156</v>
      </c>
      <c r="D385" s="227" t="s">
        <v>327</v>
      </c>
      <c r="E385" s="565" t="s">
        <v>1774</v>
      </c>
      <c r="F385" s="191" t="s">
        <v>384</v>
      </c>
      <c r="G385" s="187" t="s">
        <v>69</v>
      </c>
      <c r="H385" s="235">
        <v>0.02</v>
      </c>
      <c r="I385" s="230" t="s">
        <v>909</v>
      </c>
      <c r="J385" s="192" t="s">
        <v>910</v>
      </c>
      <c r="K385" s="232" t="s">
        <v>790</v>
      </c>
      <c r="L385" s="234">
        <f>5112918.82/1000</f>
        <v>5112.9188199999999</v>
      </c>
      <c r="M385" s="200">
        <f>L385*1.2142</f>
        <v>6208.1060312439995</v>
      </c>
    </row>
    <row r="386" spans="2:13" ht="15" customHeight="1" x14ac:dyDescent="0.2">
      <c r="B386" s="108" t="s">
        <v>911</v>
      </c>
      <c r="C386" s="202">
        <v>38223</v>
      </c>
      <c r="D386" s="227" t="s">
        <v>912</v>
      </c>
      <c r="E386" s="565" t="s">
        <v>913</v>
      </c>
      <c r="F386" s="191" t="s">
        <v>973</v>
      </c>
      <c r="G386" s="187" t="s">
        <v>915</v>
      </c>
      <c r="H386" s="235">
        <v>0.01</v>
      </c>
      <c r="I386" s="191" t="s">
        <v>916</v>
      </c>
      <c r="J386" s="192" t="s">
        <v>917</v>
      </c>
      <c r="K386" s="191" t="s">
        <v>18</v>
      </c>
      <c r="L386" s="236">
        <f>6000000/1000</f>
        <v>6000</v>
      </c>
      <c r="M386" s="200">
        <f>L386</f>
        <v>6000</v>
      </c>
    </row>
    <row r="387" spans="2:13" ht="15" customHeight="1" x14ac:dyDescent="0.2">
      <c r="B387" s="108" t="s">
        <v>918</v>
      </c>
      <c r="C387" s="202">
        <v>38331</v>
      </c>
      <c r="D387" s="227" t="s">
        <v>327</v>
      </c>
      <c r="E387" s="565" t="s">
        <v>1775</v>
      </c>
      <c r="F387" s="191" t="s">
        <v>974</v>
      </c>
      <c r="G387" s="187" t="s">
        <v>919</v>
      </c>
      <c r="H387" s="235" t="s">
        <v>920</v>
      </c>
      <c r="I387" s="230" t="s">
        <v>909</v>
      </c>
      <c r="J387" s="192" t="s">
        <v>910</v>
      </c>
      <c r="K387" s="191" t="s">
        <v>790</v>
      </c>
      <c r="L387" s="236">
        <f>8099664.95/1000</f>
        <v>8099.6649500000003</v>
      </c>
      <c r="M387" s="200">
        <f>L387*1.3223</f>
        <v>10710.186963385</v>
      </c>
    </row>
    <row r="388" spans="2:13" ht="15" customHeight="1" x14ac:dyDescent="0.2">
      <c r="B388" s="108" t="s">
        <v>921</v>
      </c>
      <c r="C388" s="202">
        <v>38350</v>
      </c>
      <c r="D388" s="227" t="s">
        <v>327</v>
      </c>
      <c r="E388" s="565" t="s">
        <v>923</v>
      </c>
      <c r="F388" s="191" t="s">
        <v>974</v>
      </c>
      <c r="G388" s="187" t="s">
        <v>922</v>
      </c>
      <c r="H388" s="235">
        <v>0.02</v>
      </c>
      <c r="I388" s="230" t="s">
        <v>909</v>
      </c>
      <c r="J388" s="192" t="s">
        <v>910</v>
      </c>
      <c r="K388" s="9" t="s">
        <v>790</v>
      </c>
      <c r="L388" s="236">
        <v>2000</v>
      </c>
      <c r="M388" s="200">
        <v>2721.2</v>
      </c>
    </row>
    <row r="389" spans="2:13" x14ac:dyDescent="0.2">
      <c r="B389" s="108"/>
      <c r="C389" s="196"/>
      <c r="D389" s="227"/>
      <c r="E389" s="565"/>
      <c r="F389" s="191"/>
      <c r="G389" s="187"/>
      <c r="H389" s="191"/>
      <c r="I389" s="191"/>
      <c r="J389" s="192"/>
      <c r="K389" s="9"/>
      <c r="L389" s="195"/>
      <c r="M389" s="200"/>
    </row>
    <row r="390" spans="2:13" x14ac:dyDescent="0.2">
      <c r="B390" s="237" t="s">
        <v>555</v>
      </c>
      <c r="C390" s="196"/>
      <c r="D390" s="227"/>
      <c r="E390" s="565"/>
      <c r="F390" s="191"/>
      <c r="G390" s="187"/>
      <c r="H390" s="191"/>
      <c r="I390" s="191"/>
      <c r="J390" s="192"/>
      <c r="K390" s="9"/>
      <c r="L390" s="195"/>
      <c r="M390" s="110">
        <f>SUM(M391:M407)</f>
        <v>1059479.23</v>
      </c>
    </row>
    <row r="391" spans="2:13" ht="15" customHeight="1" x14ac:dyDescent="0.2">
      <c r="B391" s="108" t="s">
        <v>924</v>
      </c>
      <c r="C391" s="202">
        <v>38050</v>
      </c>
      <c r="D391" s="192" t="s">
        <v>1360</v>
      </c>
      <c r="E391" s="565" t="s">
        <v>1048</v>
      </c>
      <c r="F391" s="191" t="s">
        <v>974</v>
      </c>
      <c r="G391" s="187" t="s">
        <v>948</v>
      </c>
      <c r="H391" s="191" t="s">
        <v>1914</v>
      </c>
      <c r="I391" s="191" t="s">
        <v>959</v>
      </c>
      <c r="J391" s="192" t="s">
        <v>960</v>
      </c>
      <c r="K391" s="191" t="s">
        <v>18</v>
      </c>
      <c r="L391" s="195">
        <f>20000000/1000</f>
        <v>20000</v>
      </c>
      <c r="M391" s="200">
        <f>L391</f>
        <v>20000</v>
      </c>
    </row>
    <row r="392" spans="2:13" ht="15" customHeight="1" x14ac:dyDescent="0.2">
      <c r="B392" s="108" t="s">
        <v>925</v>
      </c>
      <c r="C392" s="202">
        <v>38071</v>
      </c>
      <c r="D392" s="192" t="s">
        <v>1361</v>
      </c>
      <c r="E392" s="565" t="s">
        <v>939</v>
      </c>
      <c r="F392" s="191" t="s">
        <v>914</v>
      </c>
      <c r="G392" s="187" t="s">
        <v>949</v>
      </c>
      <c r="H392" s="230" t="s">
        <v>1915</v>
      </c>
      <c r="I392" s="191" t="s">
        <v>961</v>
      </c>
      <c r="J392" s="192" t="s">
        <v>962</v>
      </c>
      <c r="K392" s="191" t="s">
        <v>18</v>
      </c>
      <c r="L392" s="195">
        <f>18000000/1000</f>
        <v>18000</v>
      </c>
      <c r="M392" s="200">
        <f>L392</f>
        <v>18000</v>
      </c>
    </row>
    <row r="393" spans="2:13" ht="15" customHeight="1" x14ac:dyDescent="0.2">
      <c r="B393" s="108" t="s">
        <v>926</v>
      </c>
      <c r="C393" s="202">
        <v>38219</v>
      </c>
      <c r="D393" s="192" t="s">
        <v>1362</v>
      </c>
      <c r="E393" s="565" t="s">
        <v>940</v>
      </c>
      <c r="F393" s="191" t="s">
        <v>384</v>
      </c>
      <c r="G393" s="187" t="s">
        <v>950</v>
      </c>
      <c r="H393" s="191" t="s">
        <v>1916</v>
      </c>
      <c r="I393" s="230" t="s">
        <v>963</v>
      </c>
      <c r="J393" s="192" t="s">
        <v>909</v>
      </c>
      <c r="K393" s="191" t="s">
        <v>18</v>
      </c>
      <c r="L393" s="234">
        <f>280000000/1000</f>
        <v>280000</v>
      </c>
      <c r="M393" s="200">
        <f>L393</f>
        <v>280000</v>
      </c>
    </row>
    <row r="394" spans="2:13" ht="15" customHeight="1" x14ac:dyDescent="0.2">
      <c r="B394" s="108" t="s">
        <v>927</v>
      </c>
      <c r="C394" s="202">
        <v>38220</v>
      </c>
      <c r="D394" s="192" t="s">
        <v>1363</v>
      </c>
      <c r="E394" s="565" t="s">
        <v>1776</v>
      </c>
      <c r="F394" s="191" t="s">
        <v>914</v>
      </c>
      <c r="G394" s="187" t="s">
        <v>178</v>
      </c>
      <c r="H394" s="191" t="s">
        <v>957</v>
      </c>
      <c r="I394" s="238" t="s">
        <v>964</v>
      </c>
      <c r="J394" s="192" t="s">
        <v>965</v>
      </c>
      <c r="K394" s="191" t="s">
        <v>133</v>
      </c>
      <c r="L394" s="234">
        <f>12100000/1000</f>
        <v>12100</v>
      </c>
      <c r="M394" s="200">
        <f>ROUND(L394*1.47349,2)</f>
        <v>17829.23</v>
      </c>
    </row>
    <row r="395" spans="2:13" ht="15" customHeight="1" x14ac:dyDescent="0.2">
      <c r="B395" s="108" t="s">
        <v>928</v>
      </c>
      <c r="C395" s="202">
        <v>38292</v>
      </c>
      <c r="D395" s="192" t="s">
        <v>1364</v>
      </c>
      <c r="E395" s="565" t="s">
        <v>941</v>
      </c>
      <c r="F395" s="191" t="s">
        <v>974</v>
      </c>
      <c r="G395" s="187" t="s">
        <v>919</v>
      </c>
      <c r="H395" s="239" t="s">
        <v>1653</v>
      </c>
      <c r="I395" s="230" t="s">
        <v>966</v>
      </c>
      <c r="J395" s="240" t="s">
        <v>1654</v>
      </c>
      <c r="K395" s="191" t="s">
        <v>18</v>
      </c>
      <c r="L395" s="234">
        <f>750000/1000</f>
        <v>750</v>
      </c>
      <c r="M395" s="200">
        <f>L395</f>
        <v>750</v>
      </c>
    </row>
    <row r="396" spans="2:13" ht="15" customHeight="1" x14ac:dyDescent="0.2">
      <c r="B396" s="108" t="s">
        <v>929</v>
      </c>
      <c r="C396" s="202">
        <v>38292</v>
      </c>
      <c r="D396" s="192" t="s">
        <v>1365</v>
      </c>
      <c r="E396" s="565" t="s">
        <v>942</v>
      </c>
      <c r="F396" s="191" t="s">
        <v>914</v>
      </c>
      <c r="G396" s="187" t="s">
        <v>381</v>
      </c>
      <c r="H396" s="191" t="s">
        <v>956</v>
      </c>
      <c r="I396" s="230" t="s">
        <v>967</v>
      </c>
      <c r="J396" s="192" t="s">
        <v>968</v>
      </c>
      <c r="K396" s="191" t="s">
        <v>18</v>
      </c>
      <c r="L396" s="234">
        <f>12000000/1000</f>
        <v>12000</v>
      </c>
      <c r="M396" s="200">
        <f t="shared" ref="M396:M401" si="1">L396</f>
        <v>12000</v>
      </c>
    </row>
    <row r="397" spans="2:13" ht="15" customHeight="1" x14ac:dyDescent="0.2">
      <c r="B397" s="108" t="s">
        <v>930</v>
      </c>
      <c r="C397" s="202">
        <v>38323</v>
      </c>
      <c r="D397" s="192" t="s">
        <v>1366</v>
      </c>
      <c r="E397" s="565" t="s">
        <v>1049</v>
      </c>
      <c r="F397" s="191" t="s">
        <v>955</v>
      </c>
      <c r="G397" s="187" t="s">
        <v>950</v>
      </c>
      <c r="H397" s="191" t="s">
        <v>958</v>
      </c>
      <c r="I397" s="230" t="s">
        <v>966</v>
      </c>
      <c r="J397" s="192" t="s">
        <v>969</v>
      </c>
      <c r="K397" s="191" t="s">
        <v>18</v>
      </c>
      <c r="L397" s="234">
        <f>80000000/1000</f>
        <v>80000</v>
      </c>
      <c r="M397" s="200">
        <f t="shared" si="1"/>
        <v>80000</v>
      </c>
    </row>
    <row r="398" spans="2:13" ht="15" customHeight="1" x14ac:dyDescent="0.2">
      <c r="B398" s="108" t="s">
        <v>931</v>
      </c>
      <c r="C398" s="202">
        <v>38331</v>
      </c>
      <c r="D398" s="192" t="s">
        <v>1367</v>
      </c>
      <c r="E398" s="565" t="s">
        <v>1050</v>
      </c>
      <c r="F398" s="191" t="s">
        <v>955</v>
      </c>
      <c r="G398" s="187" t="s">
        <v>951</v>
      </c>
      <c r="H398" s="191" t="s">
        <v>1914</v>
      </c>
      <c r="I398" s="230" t="s">
        <v>967</v>
      </c>
      <c r="J398" s="192" t="s">
        <v>968</v>
      </c>
      <c r="K398" s="191" t="s">
        <v>18</v>
      </c>
      <c r="L398" s="234">
        <f>100000000/1000</f>
        <v>100000</v>
      </c>
      <c r="M398" s="200">
        <f t="shared" si="1"/>
        <v>100000</v>
      </c>
    </row>
    <row r="399" spans="2:13" ht="15" customHeight="1" x14ac:dyDescent="0.2">
      <c r="B399" s="108" t="s">
        <v>931</v>
      </c>
      <c r="C399" s="202">
        <v>38331</v>
      </c>
      <c r="D399" s="192" t="s">
        <v>1368</v>
      </c>
      <c r="E399" s="565" t="s">
        <v>1051</v>
      </c>
      <c r="F399" s="191" t="s">
        <v>955</v>
      </c>
      <c r="G399" s="187" t="s">
        <v>951</v>
      </c>
      <c r="H399" s="191" t="s">
        <v>1914</v>
      </c>
      <c r="I399" s="230" t="s">
        <v>967</v>
      </c>
      <c r="J399" s="192" t="s">
        <v>968</v>
      </c>
      <c r="K399" s="191" t="s">
        <v>18</v>
      </c>
      <c r="L399" s="234">
        <f>8800000/1000</f>
        <v>8800</v>
      </c>
      <c r="M399" s="200">
        <f t="shared" si="1"/>
        <v>8800</v>
      </c>
    </row>
    <row r="400" spans="2:13" ht="15" customHeight="1" x14ac:dyDescent="0.2">
      <c r="B400" s="108" t="s">
        <v>932</v>
      </c>
      <c r="C400" s="202">
        <v>38331</v>
      </c>
      <c r="D400" s="192" t="s">
        <v>1369</v>
      </c>
      <c r="E400" s="565" t="s">
        <v>943</v>
      </c>
      <c r="F400" s="191" t="s">
        <v>955</v>
      </c>
      <c r="G400" s="187" t="s">
        <v>951</v>
      </c>
      <c r="H400" s="191" t="s">
        <v>1914</v>
      </c>
      <c r="I400" s="230" t="s">
        <v>967</v>
      </c>
      <c r="J400" s="192" t="s">
        <v>968</v>
      </c>
      <c r="K400" s="191" t="s">
        <v>18</v>
      </c>
      <c r="L400" s="234">
        <f>100000000/1000</f>
        <v>100000</v>
      </c>
      <c r="M400" s="200">
        <f t="shared" si="1"/>
        <v>100000</v>
      </c>
    </row>
    <row r="401" spans="2:13" ht="15" customHeight="1" x14ac:dyDescent="0.2">
      <c r="B401" s="108" t="s">
        <v>932</v>
      </c>
      <c r="C401" s="202">
        <v>38331</v>
      </c>
      <c r="D401" s="192" t="s">
        <v>1370</v>
      </c>
      <c r="E401" s="565" t="s">
        <v>5</v>
      </c>
      <c r="F401" s="191" t="s">
        <v>955</v>
      </c>
      <c r="G401" s="187" t="s">
        <v>951</v>
      </c>
      <c r="H401" s="191" t="s">
        <v>1914</v>
      </c>
      <c r="I401" s="230" t="s">
        <v>967</v>
      </c>
      <c r="J401" s="192" t="s">
        <v>968</v>
      </c>
      <c r="K401" s="191" t="s">
        <v>18</v>
      </c>
      <c r="L401" s="234">
        <f>7800000/1000</f>
        <v>7800</v>
      </c>
      <c r="M401" s="200">
        <f t="shared" si="1"/>
        <v>7800</v>
      </c>
    </row>
    <row r="402" spans="2:13" ht="15" customHeight="1" x14ac:dyDescent="0.2">
      <c r="B402" s="108" t="s">
        <v>933</v>
      </c>
      <c r="C402" s="202">
        <v>38331</v>
      </c>
      <c r="D402" s="192" t="s">
        <v>1371</v>
      </c>
      <c r="E402" s="565" t="s">
        <v>944</v>
      </c>
      <c r="F402" s="191" t="s">
        <v>955</v>
      </c>
      <c r="G402" s="187" t="s">
        <v>951</v>
      </c>
      <c r="H402" s="230" t="s">
        <v>1917</v>
      </c>
      <c r="I402" s="230" t="s">
        <v>1001</v>
      </c>
      <c r="J402" s="192" t="s">
        <v>1000</v>
      </c>
      <c r="K402" s="191" t="s">
        <v>18</v>
      </c>
      <c r="L402" s="234">
        <f>300000000/1000</f>
        <v>300000</v>
      </c>
      <c r="M402" s="200">
        <f t="shared" ref="M402:M407" si="2">L402</f>
        <v>300000</v>
      </c>
    </row>
    <row r="403" spans="2:13" ht="15" customHeight="1" x14ac:dyDescent="0.2">
      <c r="B403" s="108" t="s">
        <v>934</v>
      </c>
      <c r="C403" s="202">
        <v>38344</v>
      </c>
      <c r="D403" s="192" t="s">
        <v>1372</v>
      </c>
      <c r="E403" s="565" t="s">
        <v>945</v>
      </c>
      <c r="F403" s="191" t="s">
        <v>384</v>
      </c>
      <c r="G403" s="187" t="s">
        <v>952</v>
      </c>
      <c r="H403" s="230" t="s">
        <v>1918</v>
      </c>
      <c r="I403" s="230" t="s">
        <v>916</v>
      </c>
      <c r="J403" s="192" t="s">
        <v>909</v>
      </c>
      <c r="K403" s="191" t="s">
        <v>18</v>
      </c>
      <c r="L403" s="234">
        <f>77000000/1000</f>
        <v>77000</v>
      </c>
      <c r="M403" s="200">
        <f t="shared" si="2"/>
        <v>77000</v>
      </c>
    </row>
    <row r="404" spans="2:13" ht="15" customHeight="1" x14ac:dyDescent="0.2">
      <c r="B404" s="108" t="s">
        <v>935</v>
      </c>
      <c r="C404" s="202">
        <v>38350</v>
      </c>
      <c r="D404" s="192" t="s">
        <v>1373</v>
      </c>
      <c r="E404" s="565" t="s">
        <v>946</v>
      </c>
      <c r="F404" s="191" t="s">
        <v>2016</v>
      </c>
      <c r="G404" s="187" t="s">
        <v>818</v>
      </c>
      <c r="H404" s="191" t="s">
        <v>1914</v>
      </c>
      <c r="I404" s="230" t="s">
        <v>967</v>
      </c>
      <c r="J404" s="192" t="s">
        <v>968</v>
      </c>
      <c r="K404" s="191" t="s">
        <v>18</v>
      </c>
      <c r="L404" s="234">
        <f>5000000/1000</f>
        <v>5000</v>
      </c>
      <c r="M404" s="200">
        <f t="shared" si="2"/>
        <v>5000</v>
      </c>
    </row>
    <row r="405" spans="2:13" ht="15" customHeight="1" x14ac:dyDescent="0.2">
      <c r="B405" s="108" t="s">
        <v>936</v>
      </c>
      <c r="C405" s="202">
        <v>38350</v>
      </c>
      <c r="D405" s="192" t="s">
        <v>1374</v>
      </c>
      <c r="E405" s="565" t="s">
        <v>947</v>
      </c>
      <c r="F405" s="191" t="s">
        <v>11</v>
      </c>
      <c r="G405" s="187" t="s">
        <v>953</v>
      </c>
      <c r="H405" s="230" t="s">
        <v>1917</v>
      </c>
      <c r="I405" s="230" t="s">
        <v>961</v>
      </c>
      <c r="J405" s="192" t="s">
        <v>970</v>
      </c>
      <c r="K405" s="191" t="s">
        <v>18</v>
      </c>
      <c r="L405" s="234">
        <f>15000000/1000</f>
        <v>15000</v>
      </c>
      <c r="M405" s="200">
        <f t="shared" si="2"/>
        <v>15000</v>
      </c>
    </row>
    <row r="406" spans="2:13" ht="15" customHeight="1" x14ac:dyDescent="0.2">
      <c r="B406" s="108" t="s">
        <v>937</v>
      </c>
      <c r="C406" s="202">
        <v>38350</v>
      </c>
      <c r="D406" s="192" t="s">
        <v>1375</v>
      </c>
      <c r="E406" s="565" t="s">
        <v>6</v>
      </c>
      <c r="F406" s="191" t="s">
        <v>955</v>
      </c>
      <c r="G406" s="187" t="s">
        <v>951</v>
      </c>
      <c r="H406" s="230" t="s">
        <v>1917</v>
      </c>
      <c r="I406" s="230" t="s">
        <v>971</v>
      </c>
      <c r="J406" s="192" t="s">
        <v>972</v>
      </c>
      <c r="K406" s="191" t="s">
        <v>18</v>
      </c>
      <c r="L406" s="234">
        <f>5300000/1000</f>
        <v>5300</v>
      </c>
      <c r="M406" s="200">
        <f t="shared" si="2"/>
        <v>5300</v>
      </c>
    </row>
    <row r="407" spans="2:13" ht="15" customHeight="1" thickBot="1" x14ac:dyDescent="0.25">
      <c r="B407" s="204" t="s">
        <v>938</v>
      </c>
      <c r="C407" s="241">
        <v>38350</v>
      </c>
      <c r="D407" s="207" t="s">
        <v>1376</v>
      </c>
      <c r="E407" s="566" t="s">
        <v>1859</v>
      </c>
      <c r="F407" s="243" t="s">
        <v>975</v>
      </c>
      <c r="G407" s="206" t="s">
        <v>954</v>
      </c>
      <c r="H407" s="230" t="s">
        <v>1917</v>
      </c>
      <c r="I407" s="244" t="s">
        <v>916</v>
      </c>
      <c r="J407" s="207" t="s">
        <v>909</v>
      </c>
      <c r="K407" s="243" t="s">
        <v>18</v>
      </c>
      <c r="L407" s="245">
        <f>12000000/1000</f>
        <v>12000</v>
      </c>
      <c r="M407" s="212">
        <f t="shared" si="2"/>
        <v>12000</v>
      </c>
    </row>
    <row r="408" spans="2:13" ht="18.75" thickTop="1" x14ac:dyDescent="0.2">
      <c r="B408" s="170"/>
      <c r="C408" s="223"/>
      <c r="D408" s="225"/>
      <c r="E408" s="567"/>
      <c r="F408" s="34"/>
      <c r="G408" s="32"/>
      <c r="H408" s="34"/>
      <c r="I408" s="34"/>
      <c r="J408" s="35"/>
      <c r="K408" s="225"/>
      <c r="L408" s="171"/>
      <c r="M408" s="172"/>
    </row>
    <row r="409" spans="2:13" ht="18" x14ac:dyDescent="0.2">
      <c r="B409" s="117">
        <v>2005</v>
      </c>
      <c r="C409" s="102"/>
      <c r="D409" s="219"/>
      <c r="E409" s="564"/>
      <c r="F409" s="99"/>
      <c r="G409" s="104"/>
      <c r="H409" s="99"/>
      <c r="I409" s="99"/>
      <c r="J409" s="100"/>
      <c r="K409" s="219"/>
      <c r="L409" s="107"/>
      <c r="M409" s="132">
        <f>+M410+M413+M416</f>
        <v>919412.8</v>
      </c>
    </row>
    <row r="410" spans="2:13" x14ac:dyDescent="0.2">
      <c r="B410" s="186" t="s">
        <v>786</v>
      </c>
      <c r="C410" s="196"/>
      <c r="D410" s="437"/>
      <c r="E410" s="565"/>
      <c r="F410" s="191"/>
      <c r="G410" s="187"/>
      <c r="H410" s="191"/>
      <c r="I410" s="191"/>
      <c r="J410" s="192"/>
      <c r="K410" s="9"/>
      <c r="L410" s="195"/>
      <c r="M410" s="110">
        <f>SUM(M411:M411)</f>
        <v>400000</v>
      </c>
    </row>
    <row r="411" spans="2:13" ht="15" customHeight="1" x14ac:dyDescent="0.2">
      <c r="B411" s="108" t="s">
        <v>976</v>
      </c>
      <c r="C411" s="202">
        <v>38382</v>
      </c>
      <c r="D411" s="437" t="s">
        <v>904</v>
      </c>
      <c r="E411" s="565" t="s">
        <v>905</v>
      </c>
      <c r="F411" s="228" t="s">
        <v>54</v>
      </c>
      <c r="G411" s="187" t="s">
        <v>13</v>
      </c>
      <c r="H411" s="229" t="s">
        <v>977</v>
      </c>
      <c r="I411" s="230" t="s">
        <v>787</v>
      </c>
      <c r="J411" s="249" t="s">
        <v>1655</v>
      </c>
      <c r="K411" s="232" t="s">
        <v>18</v>
      </c>
      <c r="L411" s="195">
        <v>400000</v>
      </c>
      <c r="M411" s="200">
        <f>L411</f>
        <v>400000</v>
      </c>
    </row>
    <row r="412" spans="2:13" x14ac:dyDescent="0.2">
      <c r="B412" s="108"/>
      <c r="C412" s="202"/>
      <c r="D412" s="437"/>
      <c r="E412" s="565"/>
      <c r="F412" s="228"/>
      <c r="G412" s="187"/>
      <c r="H412" s="229"/>
      <c r="I412" s="230"/>
      <c r="J412" s="249"/>
      <c r="K412" s="232"/>
      <c r="L412" s="195"/>
      <c r="M412" s="200"/>
    </row>
    <row r="413" spans="2:13" x14ac:dyDescent="0.2">
      <c r="B413" s="47" t="s">
        <v>701</v>
      </c>
      <c r="C413" s="196"/>
      <c r="D413" s="437"/>
      <c r="E413" s="565"/>
      <c r="F413" s="228"/>
      <c r="G413" s="187"/>
      <c r="H413" s="229"/>
      <c r="I413" s="230"/>
      <c r="J413" s="231"/>
      <c r="K413" s="232"/>
      <c r="L413" s="195"/>
      <c r="M413" s="110">
        <f>+M414</f>
        <v>14152.8</v>
      </c>
    </row>
    <row r="414" spans="2:13" s="257" customFormat="1" ht="15" customHeight="1" x14ac:dyDescent="0.2">
      <c r="B414" s="250" t="s">
        <v>1271</v>
      </c>
      <c r="C414" s="251">
        <v>38156</v>
      </c>
      <c r="D414" s="437" t="s">
        <v>327</v>
      </c>
      <c r="E414" s="568" t="s">
        <v>983</v>
      </c>
      <c r="F414" s="252" t="s">
        <v>54</v>
      </c>
      <c r="G414" s="226" t="s">
        <v>984</v>
      </c>
      <c r="H414" s="2" t="s">
        <v>985</v>
      </c>
      <c r="I414" s="2" t="s">
        <v>968</v>
      </c>
      <c r="J414" s="227" t="s">
        <v>986</v>
      </c>
      <c r="K414" s="253" t="s">
        <v>790</v>
      </c>
      <c r="L414" s="254">
        <v>12000</v>
      </c>
      <c r="M414" s="256">
        <f>L414*1.1794</f>
        <v>14152.8</v>
      </c>
    </row>
    <row r="415" spans="2:13" x14ac:dyDescent="0.2">
      <c r="B415" s="108"/>
      <c r="C415" s="202"/>
      <c r="D415" s="437"/>
      <c r="E415" s="565"/>
      <c r="F415" s="228"/>
      <c r="G415" s="187"/>
      <c r="H415" s="229"/>
      <c r="I415" s="230"/>
      <c r="J415" s="231"/>
      <c r="K415" s="232"/>
      <c r="L415" s="195"/>
      <c r="M415" s="200"/>
    </row>
    <row r="416" spans="2:13" x14ac:dyDescent="0.2">
      <c r="B416" s="237" t="s">
        <v>555</v>
      </c>
      <c r="C416" s="196"/>
      <c r="D416" s="437"/>
      <c r="E416" s="565"/>
      <c r="F416" s="191"/>
      <c r="G416" s="187"/>
      <c r="H416" s="191"/>
      <c r="I416" s="191"/>
      <c r="J416" s="192"/>
      <c r="K416" s="9"/>
      <c r="L416" s="195"/>
      <c r="M416" s="110">
        <f>SUM(M417:M424)</f>
        <v>505260</v>
      </c>
    </row>
    <row r="417" spans="2:13" ht="15" customHeight="1" x14ac:dyDescent="0.2">
      <c r="B417" s="108" t="s">
        <v>978</v>
      </c>
      <c r="C417" s="202">
        <v>38531</v>
      </c>
      <c r="D417" s="191" t="s">
        <v>1377</v>
      </c>
      <c r="E417" s="565" t="s">
        <v>980</v>
      </c>
      <c r="F417" s="191" t="s">
        <v>11</v>
      </c>
      <c r="G417" s="187" t="s">
        <v>981</v>
      </c>
      <c r="H417" s="191" t="s">
        <v>1914</v>
      </c>
      <c r="I417" s="230" t="s">
        <v>967</v>
      </c>
      <c r="J417" s="192" t="s">
        <v>968</v>
      </c>
      <c r="K417" s="191" t="s">
        <v>18</v>
      </c>
      <c r="L417" s="195">
        <v>25000</v>
      </c>
      <c r="M417" s="200">
        <f>L417</f>
        <v>25000</v>
      </c>
    </row>
    <row r="418" spans="2:13" ht="15" customHeight="1" x14ac:dyDescent="0.2">
      <c r="B418" s="108" t="s">
        <v>979</v>
      </c>
      <c r="C418" s="202">
        <v>38651</v>
      </c>
      <c r="D418" s="191" t="s">
        <v>1378</v>
      </c>
      <c r="E418" s="565" t="s">
        <v>1781</v>
      </c>
      <c r="F418" s="191" t="s">
        <v>11</v>
      </c>
      <c r="G418" s="187" t="s">
        <v>982</v>
      </c>
      <c r="H418" s="191" t="s">
        <v>1914</v>
      </c>
      <c r="I418" s="230" t="s">
        <v>967</v>
      </c>
      <c r="J418" s="192" t="s">
        <v>968</v>
      </c>
      <c r="K418" s="191" t="s">
        <v>18</v>
      </c>
      <c r="L418" s="195">
        <v>10260</v>
      </c>
      <c r="M418" s="200">
        <f t="shared" ref="M418:M424" si="3">L418</f>
        <v>10260</v>
      </c>
    </row>
    <row r="419" spans="2:13" ht="15" customHeight="1" x14ac:dyDescent="0.2">
      <c r="B419" s="108" t="s">
        <v>987</v>
      </c>
      <c r="C419" s="202">
        <v>38687</v>
      </c>
      <c r="D419" s="199" t="s">
        <v>1379</v>
      </c>
      <c r="E419" s="565" t="s">
        <v>1780</v>
      </c>
      <c r="F419" s="191" t="s">
        <v>11</v>
      </c>
      <c r="G419" s="187" t="s">
        <v>992</v>
      </c>
      <c r="H419" s="191" t="s">
        <v>1919</v>
      </c>
      <c r="I419" s="230" t="s">
        <v>995</v>
      </c>
      <c r="J419" s="192" t="s">
        <v>972</v>
      </c>
      <c r="K419" s="191" t="s">
        <v>18</v>
      </c>
      <c r="L419" s="234">
        <v>15000</v>
      </c>
      <c r="M419" s="200">
        <f t="shared" si="3"/>
        <v>15000</v>
      </c>
    </row>
    <row r="420" spans="2:13" ht="15" customHeight="1" x14ac:dyDescent="0.2">
      <c r="B420" s="108" t="s">
        <v>988</v>
      </c>
      <c r="C420" s="202">
        <v>38691</v>
      </c>
      <c r="D420" s="199" t="s">
        <v>1380</v>
      </c>
      <c r="E420" s="565" t="s">
        <v>1777</v>
      </c>
      <c r="F420" s="191" t="s">
        <v>54</v>
      </c>
      <c r="G420" s="187" t="s">
        <v>984</v>
      </c>
      <c r="H420" s="191" t="s">
        <v>1914</v>
      </c>
      <c r="I420" s="230" t="s">
        <v>909</v>
      </c>
      <c r="J420" s="192" t="s">
        <v>996</v>
      </c>
      <c r="K420" s="191" t="s">
        <v>18</v>
      </c>
      <c r="L420" s="234">
        <v>150000</v>
      </c>
      <c r="M420" s="200">
        <f t="shared" si="3"/>
        <v>150000</v>
      </c>
    </row>
    <row r="421" spans="2:13" ht="15" customHeight="1" x14ac:dyDescent="0.2">
      <c r="B421" s="108" t="s">
        <v>989</v>
      </c>
      <c r="C421" s="202">
        <v>38691</v>
      </c>
      <c r="D421" s="199" t="s">
        <v>1381</v>
      </c>
      <c r="E421" s="565" t="s">
        <v>1077</v>
      </c>
      <c r="F421" s="191" t="s">
        <v>54</v>
      </c>
      <c r="G421" s="187" t="s">
        <v>984</v>
      </c>
      <c r="H421" s="191" t="s">
        <v>1919</v>
      </c>
      <c r="I421" s="230" t="s">
        <v>916</v>
      </c>
      <c r="J421" s="192" t="s">
        <v>997</v>
      </c>
      <c r="K421" s="191" t="s">
        <v>999</v>
      </c>
      <c r="L421" s="234">
        <v>200000</v>
      </c>
      <c r="M421" s="200">
        <f t="shared" si="3"/>
        <v>200000</v>
      </c>
    </row>
    <row r="422" spans="2:13" ht="15" customHeight="1" x14ac:dyDescent="0.2">
      <c r="B422" s="108" t="s">
        <v>989</v>
      </c>
      <c r="C422" s="258">
        <v>38691</v>
      </c>
      <c r="D422" s="199" t="s">
        <v>1382</v>
      </c>
      <c r="E422" s="565" t="s">
        <v>1778</v>
      </c>
      <c r="F422" s="191" t="s">
        <v>54</v>
      </c>
      <c r="G422" s="187" t="s">
        <v>951</v>
      </c>
      <c r="H422" s="191" t="s">
        <v>1919</v>
      </c>
      <c r="I422" s="230" t="s">
        <v>963</v>
      </c>
      <c r="J422" s="192" t="s">
        <v>998</v>
      </c>
      <c r="K422" s="191" t="s">
        <v>18</v>
      </c>
      <c r="L422" s="234">
        <v>5000</v>
      </c>
      <c r="M422" s="200">
        <f t="shared" si="3"/>
        <v>5000</v>
      </c>
    </row>
    <row r="423" spans="2:13" ht="15" customHeight="1" x14ac:dyDescent="0.2">
      <c r="B423" s="108" t="s">
        <v>990</v>
      </c>
      <c r="C423" s="258">
        <v>38710</v>
      </c>
      <c r="D423" s="199" t="s">
        <v>1383</v>
      </c>
      <c r="E423" s="565" t="s">
        <v>1779</v>
      </c>
      <c r="F423" s="191" t="s">
        <v>64</v>
      </c>
      <c r="G423" s="187" t="s">
        <v>993</v>
      </c>
      <c r="H423" s="191" t="s">
        <v>1914</v>
      </c>
      <c r="I423" s="230" t="s">
        <v>967</v>
      </c>
      <c r="J423" s="192" t="s">
        <v>968</v>
      </c>
      <c r="K423" s="191" t="s">
        <v>999</v>
      </c>
      <c r="L423" s="234">
        <v>50000</v>
      </c>
      <c r="M423" s="200">
        <f t="shared" si="3"/>
        <v>50000</v>
      </c>
    </row>
    <row r="424" spans="2:13" ht="15" customHeight="1" x14ac:dyDescent="0.2">
      <c r="B424" s="108" t="s">
        <v>991</v>
      </c>
      <c r="C424" s="202">
        <v>38710</v>
      </c>
      <c r="D424" s="191" t="s">
        <v>1384</v>
      </c>
      <c r="E424" s="565" t="s">
        <v>1779</v>
      </c>
      <c r="F424" s="191" t="s">
        <v>64</v>
      </c>
      <c r="G424" s="187" t="s">
        <v>993</v>
      </c>
      <c r="H424" s="191" t="s">
        <v>1920</v>
      </c>
      <c r="I424" s="230" t="s">
        <v>916</v>
      </c>
      <c r="J424" s="192" t="s">
        <v>997</v>
      </c>
      <c r="K424" s="191" t="s">
        <v>18</v>
      </c>
      <c r="L424" s="234">
        <v>50000</v>
      </c>
      <c r="M424" s="200">
        <f t="shared" si="3"/>
        <v>50000</v>
      </c>
    </row>
    <row r="425" spans="2:13" ht="13.5" thickBot="1" x14ac:dyDescent="0.25">
      <c r="B425" s="259"/>
      <c r="C425" s="260"/>
      <c r="D425" s="261"/>
      <c r="E425" s="569"/>
      <c r="F425" s="113"/>
      <c r="G425" s="112"/>
      <c r="H425" s="261"/>
      <c r="I425" s="262"/>
      <c r="J425" s="114"/>
      <c r="K425" s="261"/>
      <c r="L425" s="263"/>
      <c r="M425" s="154"/>
    </row>
    <row r="426" spans="2:13" ht="13.5" thickTop="1" x14ac:dyDescent="0.2">
      <c r="B426" s="264"/>
      <c r="C426" s="265"/>
      <c r="D426" s="165"/>
      <c r="E426" s="564"/>
      <c r="F426" s="33"/>
      <c r="G426" s="32"/>
      <c r="H426" s="165"/>
      <c r="I426" s="266"/>
      <c r="J426" s="100"/>
      <c r="K426" s="165"/>
      <c r="L426" s="267"/>
      <c r="M426" s="268"/>
    </row>
    <row r="427" spans="2:13" ht="18" x14ac:dyDescent="0.2">
      <c r="B427" s="117">
        <v>2006</v>
      </c>
      <c r="C427" s="265"/>
      <c r="D427" s="165"/>
      <c r="E427" s="564"/>
      <c r="F427" s="105"/>
      <c r="G427" s="104"/>
      <c r="H427" s="165"/>
      <c r="I427" s="266"/>
      <c r="J427" s="100"/>
      <c r="K427" s="165"/>
      <c r="L427" s="267"/>
      <c r="M427" s="132">
        <f>+M428+M436</f>
        <v>627859.27433852002</v>
      </c>
    </row>
    <row r="428" spans="2:13" x14ac:dyDescent="0.2">
      <c r="B428" s="47" t="s">
        <v>701</v>
      </c>
      <c r="C428" s="258"/>
      <c r="D428" s="199"/>
      <c r="E428" s="565"/>
      <c r="F428" s="199"/>
      <c r="G428" s="187"/>
      <c r="H428" s="191"/>
      <c r="I428" s="230"/>
      <c r="J428" s="192"/>
      <c r="K428" s="191"/>
      <c r="L428" s="236"/>
      <c r="M428" s="110">
        <f>SUM(M429:M434)</f>
        <v>114969.27433852</v>
      </c>
    </row>
    <row r="429" spans="2:13" ht="15" customHeight="1" x14ac:dyDescent="0.2">
      <c r="B429" s="269" t="s">
        <v>1058</v>
      </c>
      <c r="C429" s="258">
        <v>38975</v>
      </c>
      <c r="D429" s="199" t="s">
        <v>1069</v>
      </c>
      <c r="E429" s="570" t="s">
        <v>1070</v>
      </c>
      <c r="F429" s="199" t="s">
        <v>1079</v>
      </c>
      <c r="G429" s="187" t="s">
        <v>1084</v>
      </c>
      <c r="H429" s="235">
        <v>0.01</v>
      </c>
      <c r="I429" s="271" t="s">
        <v>916</v>
      </c>
      <c r="J429" s="272" t="s">
        <v>917</v>
      </c>
      <c r="K429" s="191" t="s">
        <v>18</v>
      </c>
      <c r="L429" s="234">
        <v>10000</v>
      </c>
      <c r="M429" s="200">
        <v>10000</v>
      </c>
    </row>
    <row r="430" spans="2:13" s="257" customFormat="1" ht="15" customHeight="1" x14ac:dyDescent="0.2">
      <c r="B430" s="273" t="s">
        <v>1059</v>
      </c>
      <c r="C430" s="11">
        <v>38997</v>
      </c>
      <c r="D430" s="436" t="s">
        <v>327</v>
      </c>
      <c r="E430" s="571" t="s">
        <v>1071</v>
      </c>
      <c r="F430" s="436" t="s">
        <v>1080</v>
      </c>
      <c r="G430" s="226" t="s">
        <v>1085</v>
      </c>
      <c r="H430" s="274">
        <v>0.02</v>
      </c>
      <c r="I430" s="2" t="s">
        <v>909</v>
      </c>
      <c r="J430" s="276" t="s">
        <v>910</v>
      </c>
      <c r="K430" s="9" t="s">
        <v>790</v>
      </c>
      <c r="L430" s="13">
        <v>11759.71</v>
      </c>
      <c r="M430" s="256">
        <v>14813.71</v>
      </c>
    </row>
    <row r="431" spans="2:13" s="257" customFormat="1" ht="15" customHeight="1" x14ac:dyDescent="0.2">
      <c r="B431" s="273" t="s">
        <v>1063</v>
      </c>
      <c r="C431" s="11">
        <v>39022</v>
      </c>
      <c r="D431" s="436" t="s">
        <v>327</v>
      </c>
      <c r="E431" s="571" t="s">
        <v>1860</v>
      </c>
      <c r="F431" s="436" t="s">
        <v>54</v>
      </c>
      <c r="G431" s="226" t="s">
        <v>984</v>
      </c>
      <c r="H431" s="9" t="s">
        <v>1098</v>
      </c>
      <c r="I431" s="9" t="s">
        <v>968</v>
      </c>
      <c r="J431" s="276" t="s">
        <v>986</v>
      </c>
      <c r="K431" s="9" t="s">
        <v>790</v>
      </c>
      <c r="L431" s="13">
        <v>12000</v>
      </c>
      <c r="M431" s="256">
        <v>15313.2</v>
      </c>
    </row>
    <row r="432" spans="2:13" s="257" customFormat="1" ht="15" customHeight="1" x14ac:dyDescent="0.2">
      <c r="B432" s="273" t="s">
        <v>1064</v>
      </c>
      <c r="C432" s="11">
        <v>39022</v>
      </c>
      <c r="D432" s="436" t="s">
        <v>327</v>
      </c>
      <c r="E432" s="571" t="s">
        <v>1074</v>
      </c>
      <c r="F432" s="436" t="s">
        <v>11</v>
      </c>
      <c r="G432" s="226" t="s">
        <v>1087</v>
      </c>
      <c r="H432" s="274">
        <v>0.03</v>
      </c>
      <c r="I432" s="9" t="s">
        <v>909</v>
      </c>
      <c r="J432" s="276" t="s">
        <v>910</v>
      </c>
      <c r="K432" s="9" t="s">
        <v>790</v>
      </c>
      <c r="L432" s="13">
        <v>6000</v>
      </c>
      <c r="M432" s="256">
        <v>7658.4</v>
      </c>
    </row>
    <row r="433" spans="2:13" s="257" customFormat="1" ht="15" customHeight="1" x14ac:dyDescent="0.2">
      <c r="B433" s="273" t="s">
        <v>1065</v>
      </c>
      <c r="C433" s="11">
        <v>39045</v>
      </c>
      <c r="D433" s="436" t="s">
        <v>327</v>
      </c>
      <c r="E433" s="571" t="s">
        <v>1075</v>
      </c>
      <c r="F433" s="436" t="s">
        <v>88</v>
      </c>
      <c r="G433" s="226" t="s">
        <v>1088</v>
      </c>
      <c r="H433" s="278" t="s">
        <v>2</v>
      </c>
      <c r="I433" s="9" t="s">
        <v>909</v>
      </c>
      <c r="J433" s="276" t="s">
        <v>910</v>
      </c>
      <c r="K433" s="9" t="s">
        <v>790</v>
      </c>
      <c r="L433" s="13">
        <v>12035.5</v>
      </c>
      <c r="M433" s="256">
        <v>15573.94033852</v>
      </c>
    </row>
    <row r="434" spans="2:13" ht="15" customHeight="1" x14ac:dyDescent="0.2">
      <c r="B434" s="269" t="s">
        <v>1066</v>
      </c>
      <c r="C434" s="258">
        <v>39052</v>
      </c>
      <c r="D434" s="199" t="s">
        <v>464</v>
      </c>
      <c r="E434" s="570" t="s">
        <v>1076</v>
      </c>
      <c r="F434" s="199" t="s">
        <v>11</v>
      </c>
      <c r="G434" s="187" t="s">
        <v>982</v>
      </c>
      <c r="H434" s="191" t="s">
        <v>1099</v>
      </c>
      <c r="I434" s="271" t="s">
        <v>1100</v>
      </c>
      <c r="J434" s="272" t="s">
        <v>1092</v>
      </c>
      <c r="K434" s="191" t="s">
        <v>74</v>
      </c>
      <c r="L434" s="234">
        <v>5972000</v>
      </c>
      <c r="M434" s="200">
        <v>51610.023999999998</v>
      </c>
    </row>
    <row r="435" spans="2:13" x14ac:dyDescent="0.2">
      <c r="B435" s="269"/>
      <c r="C435" s="202"/>
      <c r="D435" s="191"/>
      <c r="E435" s="570"/>
      <c r="F435" s="199"/>
      <c r="G435" s="187"/>
      <c r="H435" s="235"/>
      <c r="I435" s="230"/>
      <c r="J435" s="272"/>
      <c r="K435" s="191"/>
      <c r="L435" s="234"/>
      <c r="M435" s="200"/>
    </row>
    <row r="436" spans="2:13" x14ac:dyDescent="0.2">
      <c r="B436" s="237" t="s">
        <v>555</v>
      </c>
      <c r="C436" s="202"/>
      <c r="D436" s="191"/>
      <c r="E436" s="565"/>
      <c r="F436" s="199"/>
      <c r="G436" s="187"/>
      <c r="H436" s="191"/>
      <c r="I436" s="230"/>
      <c r="J436" s="192"/>
      <c r="K436" s="191"/>
      <c r="L436" s="234"/>
      <c r="M436" s="110">
        <f>SUM(M437:M446)</f>
        <v>512890</v>
      </c>
    </row>
    <row r="437" spans="2:13" ht="30" customHeight="1" x14ac:dyDescent="0.2">
      <c r="B437" s="199" t="s">
        <v>1053</v>
      </c>
      <c r="C437" s="202">
        <v>38759</v>
      </c>
      <c r="D437" s="437" t="s">
        <v>97</v>
      </c>
      <c r="E437" s="572" t="s">
        <v>1385</v>
      </c>
      <c r="F437" s="199" t="s">
        <v>1079</v>
      </c>
      <c r="G437" s="187" t="s">
        <v>984</v>
      </c>
      <c r="H437" s="279" t="s">
        <v>852</v>
      </c>
      <c r="I437" s="279" t="s">
        <v>852</v>
      </c>
      <c r="J437" s="280" t="s">
        <v>852</v>
      </c>
      <c r="K437" s="191" t="s">
        <v>18</v>
      </c>
      <c r="L437" s="195">
        <v>28000</v>
      </c>
      <c r="M437" s="200">
        <v>28000</v>
      </c>
    </row>
    <row r="438" spans="2:13" ht="15" customHeight="1" x14ac:dyDescent="0.2">
      <c r="B438" s="199" t="s">
        <v>1054</v>
      </c>
      <c r="C438" s="258">
        <v>38904</v>
      </c>
      <c r="D438" s="436" t="s">
        <v>1386</v>
      </c>
      <c r="E438" s="570" t="s">
        <v>1782</v>
      </c>
      <c r="F438" s="199" t="s">
        <v>64</v>
      </c>
      <c r="G438" s="187" t="s">
        <v>1082</v>
      </c>
      <c r="H438" s="191" t="s">
        <v>1914</v>
      </c>
      <c r="I438" s="230" t="s">
        <v>909</v>
      </c>
      <c r="J438" s="281" t="s">
        <v>1090</v>
      </c>
      <c r="K438" s="191" t="s">
        <v>18</v>
      </c>
      <c r="L438" s="234">
        <v>50000</v>
      </c>
      <c r="M438" s="200">
        <v>50000</v>
      </c>
    </row>
    <row r="439" spans="2:13" ht="15" customHeight="1" x14ac:dyDescent="0.2">
      <c r="B439" s="199" t="s">
        <v>1055</v>
      </c>
      <c r="C439" s="258">
        <v>38904</v>
      </c>
      <c r="D439" s="436" t="s">
        <v>1387</v>
      </c>
      <c r="E439" s="570" t="s">
        <v>1783</v>
      </c>
      <c r="F439" s="199" t="s">
        <v>881</v>
      </c>
      <c r="G439" s="187" t="s">
        <v>881</v>
      </c>
      <c r="H439" s="191" t="s">
        <v>1919</v>
      </c>
      <c r="I439" s="230" t="s">
        <v>1091</v>
      </c>
      <c r="J439" s="281" t="s">
        <v>1092</v>
      </c>
      <c r="K439" s="191" t="s">
        <v>18</v>
      </c>
      <c r="L439" s="234">
        <v>25000</v>
      </c>
      <c r="M439" s="200">
        <v>25000</v>
      </c>
    </row>
    <row r="440" spans="2:13" ht="30" customHeight="1" x14ac:dyDescent="0.2">
      <c r="B440" s="269" t="s">
        <v>1056</v>
      </c>
      <c r="C440" s="258">
        <v>38906</v>
      </c>
      <c r="D440" s="436" t="s">
        <v>55</v>
      </c>
      <c r="E440" s="573" t="s">
        <v>1344</v>
      </c>
      <c r="F440" s="199" t="s">
        <v>1079</v>
      </c>
      <c r="G440" s="187" t="s">
        <v>984</v>
      </c>
      <c r="H440" s="279" t="s">
        <v>1052</v>
      </c>
      <c r="I440" s="279" t="s">
        <v>1052</v>
      </c>
      <c r="J440" s="280" t="s">
        <v>1052</v>
      </c>
      <c r="K440" s="191" t="s">
        <v>18</v>
      </c>
      <c r="L440" s="234">
        <v>60000</v>
      </c>
      <c r="M440" s="200">
        <v>60000</v>
      </c>
    </row>
    <row r="441" spans="2:13" ht="15" customHeight="1" x14ac:dyDescent="0.2">
      <c r="B441" s="269" t="s">
        <v>1057</v>
      </c>
      <c r="C441" s="258">
        <v>38913</v>
      </c>
      <c r="D441" s="436" t="s">
        <v>1388</v>
      </c>
      <c r="E441" s="570" t="s">
        <v>1784</v>
      </c>
      <c r="F441" s="187" t="s">
        <v>11</v>
      </c>
      <c r="G441" s="192" t="s">
        <v>1083</v>
      </c>
      <c r="H441" s="191" t="s">
        <v>1093</v>
      </c>
      <c r="I441" s="271" t="s">
        <v>1001</v>
      </c>
      <c r="J441" s="272" t="s">
        <v>1094</v>
      </c>
      <c r="K441" s="191" t="s">
        <v>18</v>
      </c>
      <c r="L441" s="234">
        <v>10000</v>
      </c>
      <c r="M441" s="200">
        <v>10000</v>
      </c>
    </row>
    <row r="442" spans="2:13" ht="15" customHeight="1" x14ac:dyDescent="0.2">
      <c r="B442" s="269" t="s">
        <v>1060</v>
      </c>
      <c r="C442" s="258">
        <v>39000</v>
      </c>
      <c r="D442" s="436" t="s">
        <v>1389</v>
      </c>
      <c r="E442" s="570" t="s">
        <v>1072</v>
      </c>
      <c r="F442" s="187" t="s">
        <v>1081</v>
      </c>
      <c r="G442" s="192" t="s">
        <v>481</v>
      </c>
      <c r="H442" s="191" t="s">
        <v>956</v>
      </c>
      <c r="I442" s="271" t="s">
        <v>1095</v>
      </c>
      <c r="J442" s="282" t="s">
        <v>1107</v>
      </c>
      <c r="K442" s="191" t="s">
        <v>18</v>
      </c>
      <c r="L442" s="234">
        <v>25000</v>
      </c>
      <c r="M442" s="200">
        <v>25000</v>
      </c>
    </row>
    <row r="443" spans="2:13" ht="15" customHeight="1" x14ac:dyDescent="0.2">
      <c r="B443" s="269" t="s">
        <v>1061</v>
      </c>
      <c r="C443" s="258">
        <v>39005</v>
      </c>
      <c r="D443" s="436" t="s">
        <v>55</v>
      </c>
      <c r="E443" s="570" t="s">
        <v>1073</v>
      </c>
      <c r="F443" s="187" t="s">
        <v>88</v>
      </c>
      <c r="G443" s="192" t="s">
        <v>919</v>
      </c>
      <c r="H443" s="191" t="s">
        <v>994</v>
      </c>
      <c r="I443" s="271" t="s">
        <v>968</v>
      </c>
      <c r="J443" s="272" t="s">
        <v>1096</v>
      </c>
      <c r="K443" s="191" t="s">
        <v>18</v>
      </c>
      <c r="L443" s="234">
        <v>50000</v>
      </c>
      <c r="M443" s="200">
        <v>50000</v>
      </c>
    </row>
    <row r="444" spans="2:13" ht="15" customHeight="1" x14ac:dyDescent="0.2">
      <c r="B444" s="269" t="s">
        <v>1062</v>
      </c>
      <c r="C444" s="283">
        <v>39011</v>
      </c>
      <c r="D444" s="436" t="s">
        <v>1390</v>
      </c>
      <c r="E444" s="570" t="s">
        <v>1785</v>
      </c>
      <c r="F444" s="187" t="s">
        <v>21</v>
      </c>
      <c r="G444" s="192" t="s">
        <v>1086</v>
      </c>
      <c r="H444" s="279" t="s">
        <v>1108</v>
      </c>
      <c r="I444" s="191" t="s">
        <v>971</v>
      </c>
      <c r="J444" s="272" t="s">
        <v>1097</v>
      </c>
      <c r="K444" s="191" t="s">
        <v>18</v>
      </c>
      <c r="L444" s="234">
        <v>14890</v>
      </c>
      <c r="M444" s="200">
        <v>14890</v>
      </c>
    </row>
    <row r="445" spans="2:13" ht="15" customHeight="1" x14ac:dyDescent="0.2">
      <c r="B445" s="269" t="s">
        <v>1067</v>
      </c>
      <c r="C445" s="258">
        <v>39058</v>
      </c>
      <c r="D445" s="436" t="s">
        <v>1391</v>
      </c>
      <c r="E445" s="570" t="s">
        <v>1077</v>
      </c>
      <c r="F445" s="187" t="s">
        <v>54</v>
      </c>
      <c r="G445" s="192" t="s">
        <v>951</v>
      </c>
      <c r="H445" s="191" t="s">
        <v>994</v>
      </c>
      <c r="I445" s="230" t="s">
        <v>1101</v>
      </c>
      <c r="J445" s="281" t="s">
        <v>1102</v>
      </c>
      <c r="K445" s="191" t="s">
        <v>18</v>
      </c>
      <c r="L445" s="234">
        <v>200000</v>
      </c>
      <c r="M445" s="200">
        <v>200000</v>
      </c>
    </row>
    <row r="446" spans="2:13" ht="15" customHeight="1" thickBot="1" x14ac:dyDescent="0.25">
      <c r="B446" s="284" t="s">
        <v>1068</v>
      </c>
      <c r="C446" s="285">
        <v>39072</v>
      </c>
      <c r="D446" s="210" t="s">
        <v>1392</v>
      </c>
      <c r="E446" s="574" t="s">
        <v>1078</v>
      </c>
      <c r="F446" s="206" t="s">
        <v>21</v>
      </c>
      <c r="G446" s="207" t="s">
        <v>1089</v>
      </c>
      <c r="H446" s="243" t="s">
        <v>994</v>
      </c>
      <c r="I446" s="244" t="s">
        <v>1101</v>
      </c>
      <c r="J446" s="286" t="s">
        <v>1102</v>
      </c>
      <c r="K446" s="243" t="s">
        <v>18</v>
      </c>
      <c r="L446" s="245">
        <v>50000</v>
      </c>
      <c r="M446" s="212">
        <v>50000</v>
      </c>
    </row>
    <row r="447" spans="2:13" ht="13.5" thickTop="1" x14ac:dyDescent="0.2">
      <c r="B447" s="287"/>
      <c r="C447" s="288"/>
      <c r="D447" s="289"/>
      <c r="E447" s="550"/>
      <c r="F447" s="161"/>
      <c r="G447" s="289"/>
      <c r="H447" s="141"/>
      <c r="I447" s="290"/>
      <c r="J447" s="291"/>
      <c r="K447" s="165"/>
      <c r="L447" s="292"/>
      <c r="M447" s="144"/>
    </row>
    <row r="448" spans="2:13" ht="18" x14ac:dyDescent="0.2">
      <c r="B448" s="117">
        <v>2007</v>
      </c>
      <c r="C448" s="265"/>
      <c r="D448" s="161"/>
      <c r="E448" s="550"/>
      <c r="F448" s="161"/>
      <c r="G448" s="161"/>
      <c r="H448" s="141"/>
      <c r="I448" s="290"/>
      <c r="J448" s="291"/>
      <c r="K448" s="165"/>
      <c r="L448" s="292"/>
      <c r="M448" s="132">
        <f>+M450+M456</f>
        <v>628882</v>
      </c>
    </row>
    <row r="449" spans="2:13" ht="15" x14ac:dyDescent="0.2">
      <c r="B449" s="293"/>
      <c r="C449" s="265"/>
      <c r="D449" s="161"/>
      <c r="E449" s="550"/>
      <c r="F449" s="161"/>
      <c r="G449" s="161"/>
      <c r="H449" s="141"/>
      <c r="I449" s="290"/>
      <c r="J449" s="291"/>
      <c r="K449" s="165"/>
      <c r="L449" s="292"/>
      <c r="M449" s="144"/>
    </row>
    <row r="450" spans="2:13" x14ac:dyDescent="0.2">
      <c r="B450" s="47" t="s">
        <v>701</v>
      </c>
      <c r="C450" s="202"/>
      <c r="D450" s="187"/>
      <c r="E450" s="544"/>
      <c r="F450" s="187"/>
      <c r="G450" s="187"/>
      <c r="H450" s="191"/>
      <c r="I450" s="230"/>
      <c r="J450" s="281"/>
      <c r="K450" s="191"/>
      <c r="L450" s="236"/>
      <c r="M450" s="110">
        <f>SUM(M451:M454)</f>
        <v>71018</v>
      </c>
    </row>
    <row r="451" spans="2:13" ht="15" customHeight="1" x14ac:dyDescent="0.2">
      <c r="B451" s="199" t="s">
        <v>1006</v>
      </c>
      <c r="C451" s="202">
        <v>39128</v>
      </c>
      <c r="D451" s="187" t="s">
        <v>1016</v>
      </c>
      <c r="E451" s="544" t="s">
        <v>1786</v>
      </c>
      <c r="F451" s="187" t="s">
        <v>881</v>
      </c>
      <c r="G451" s="187" t="s">
        <v>1020</v>
      </c>
      <c r="H451" s="191" t="s">
        <v>1031</v>
      </c>
      <c r="I451" s="230" t="s">
        <v>1033</v>
      </c>
      <c r="J451" s="281" t="s">
        <v>1097</v>
      </c>
      <c r="K451" s="191" t="s">
        <v>1038</v>
      </c>
      <c r="L451" s="195">
        <v>5131.7299999999996</v>
      </c>
      <c r="M451" s="200">
        <v>6737</v>
      </c>
    </row>
    <row r="452" spans="2:13" ht="15" customHeight="1" x14ac:dyDescent="0.2">
      <c r="B452" s="199" t="s">
        <v>1006</v>
      </c>
      <c r="C452" s="202">
        <v>39128</v>
      </c>
      <c r="D452" s="187" t="s">
        <v>1017</v>
      </c>
      <c r="E452" s="544" t="s">
        <v>1786</v>
      </c>
      <c r="F452" s="187" t="s">
        <v>881</v>
      </c>
      <c r="G452" s="187" t="s">
        <v>1020</v>
      </c>
      <c r="H452" s="279" t="s">
        <v>3</v>
      </c>
      <c r="I452" s="230" t="s">
        <v>1034</v>
      </c>
      <c r="J452" s="281" t="s">
        <v>916</v>
      </c>
      <c r="K452" s="191" t="s">
        <v>1038</v>
      </c>
      <c r="L452" s="195">
        <v>3421.16</v>
      </c>
      <c r="M452" s="200">
        <v>4491</v>
      </c>
    </row>
    <row r="453" spans="2:13" s="257" customFormat="1" ht="15" customHeight="1" x14ac:dyDescent="0.2">
      <c r="B453" s="12" t="s">
        <v>1011</v>
      </c>
      <c r="C453" s="251">
        <v>39282</v>
      </c>
      <c r="D453" s="226" t="s">
        <v>327</v>
      </c>
      <c r="E453" s="575" t="s">
        <v>1787</v>
      </c>
      <c r="F453" s="226" t="s">
        <v>1024</v>
      </c>
      <c r="G453" s="226" t="s">
        <v>1025</v>
      </c>
      <c r="H453" s="9">
        <v>0.02</v>
      </c>
      <c r="I453" s="2" t="s">
        <v>909</v>
      </c>
      <c r="J453" s="3" t="s">
        <v>910</v>
      </c>
      <c r="K453" s="9" t="s">
        <v>1038</v>
      </c>
      <c r="L453" s="13">
        <v>2000</v>
      </c>
      <c r="M453" s="256">
        <v>2760</v>
      </c>
    </row>
    <row r="454" spans="2:13" s="257" customFormat="1" ht="15" customHeight="1" x14ac:dyDescent="0.2">
      <c r="B454" s="12" t="s">
        <v>1015</v>
      </c>
      <c r="C454" s="251">
        <v>39444</v>
      </c>
      <c r="D454" s="226" t="s">
        <v>327</v>
      </c>
      <c r="E454" s="575" t="s">
        <v>1019</v>
      </c>
      <c r="F454" s="226" t="s">
        <v>13</v>
      </c>
      <c r="G454" s="226" t="s">
        <v>1030</v>
      </c>
      <c r="H454" s="294" t="s">
        <v>1041</v>
      </c>
      <c r="I454" s="2" t="s">
        <v>916</v>
      </c>
      <c r="J454" s="3" t="s">
        <v>1037</v>
      </c>
      <c r="K454" s="9" t="s">
        <v>790</v>
      </c>
      <c r="L454" s="13">
        <v>39000</v>
      </c>
      <c r="M454" s="256">
        <v>57030</v>
      </c>
    </row>
    <row r="455" spans="2:13" s="257" customFormat="1" x14ac:dyDescent="0.2">
      <c r="B455" s="12"/>
      <c r="C455" s="251"/>
      <c r="D455" s="226"/>
      <c r="E455" s="575"/>
      <c r="F455" s="226"/>
      <c r="G455" s="226"/>
      <c r="H455" s="294"/>
      <c r="I455" s="2"/>
      <c r="J455" s="3"/>
      <c r="K455" s="9"/>
      <c r="L455" s="254"/>
      <c r="M455" s="256"/>
    </row>
    <row r="456" spans="2:13" s="257" customFormat="1" x14ac:dyDescent="0.2">
      <c r="B456" s="295" t="s">
        <v>555</v>
      </c>
      <c r="C456" s="251"/>
      <c r="D456" s="226"/>
      <c r="E456" s="575"/>
      <c r="F456" s="226"/>
      <c r="G456" s="226"/>
      <c r="H456" s="294"/>
      <c r="I456" s="2"/>
      <c r="J456" s="3"/>
      <c r="K456" s="9"/>
      <c r="L456" s="254"/>
      <c r="M456" s="296">
        <f>SUM(M457:M463)</f>
        <v>557864</v>
      </c>
    </row>
    <row r="457" spans="2:13" s="257" customFormat="1" ht="15" customHeight="1" x14ac:dyDescent="0.2">
      <c r="B457" s="12" t="s">
        <v>1007</v>
      </c>
      <c r="C457" s="251">
        <v>39135</v>
      </c>
      <c r="D457" s="226" t="s">
        <v>1393</v>
      </c>
      <c r="E457" s="575" t="s">
        <v>1788</v>
      </c>
      <c r="F457" s="226" t="s">
        <v>21</v>
      </c>
      <c r="G457" s="226" t="s">
        <v>1021</v>
      </c>
      <c r="H457" s="9" t="s">
        <v>1032</v>
      </c>
      <c r="I457" s="2" t="s">
        <v>966</v>
      </c>
      <c r="J457" s="3" t="s">
        <v>968</v>
      </c>
      <c r="K457" s="9" t="s">
        <v>18</v>
      </c>
      <c r="L457" s="254">
        <v>2692</v>
      </c>
      <c r="M457" s="256">
        <v>2692</v>
      </c>
    </row>
    <row r="458" spans="2:13" s="257" customFormat="1" ht="15" customHeight="1" x14ac:dyDescent="0.2">
      <c r="B458" s="12" t="s">
        <v>1008</v>
      </c>
      <c r="C458" s="251">
        <v>39135</v>
      </c>
      <c r="D458" s="226" t="s">
        <v>1394</v>
      </c>
      <c r="E458" s="575" t="s">
        <v>1078</v>
      </c>
      <c r="F458" s="226" t="s">
        <v>21</v>
      </c>
      <c r="G458" s="226" t="s">
        <v>1021</v>
      </c>
      <c r="H458" s="9" t="s">
        <v>956</v>
      </c>
      <c r="I458" s="2" t="s">
        <v>909</v>
      </c>
      <c r="J458" s="3" t="s">
        <v>1090</v>
      </c>
      <c r="K458" s="9" t="s">
        <v>18</v>
      </c>
      <c r="L458" s="13">
        <v>50000</v>
      </c>
      <c r="M458" s="256">
        <v>50000</v>
      </c>
    </row>
    <row r="459" spans="2:13" s="257" customFormat="1" ht="15" customHeight="1" x14ac:dyDescent="0.2">
      <c r="B459" s="12" t="s">
        <v>1009</v>
      </c>
      <c r="C459" s="251">
        <v>39169</v>
      </c>
      <c r="D459" s="226" t="s">
        <v>1395</v>
      </c>
      <c r="E459" s="575" t="s">
        <v>1789</v>
      </c>
      <c r="F459" s="226" t="s">
        <v>54</v>
      </c>
      <c r="G459" s="226" t="s">
        <v>1022</v>
      </c>
      <c r="H459" s="9" t="s">
        <v>956</v>
      </c>
      <c r="I459" s="255" t="s">
        <v>1039</v>
      </c>
      <c r="J459" s="297" t="s">
        <v>1039</v>
      </c>
      <c r="K459" s="9" t="s">
        <v>18</v>
      </c>
      <c r="L459" s="13">
        <v>200000</v>
      </c>
      <c r="M459" s="256">
        <v>200000</v>
      </c>
    </row>
    <row r="460" spans="2:13" s="257" customFormat="1" ht="15" customHeight="1" x14ac:dyDescent="0.2">
      <c r="B460" s="12" t="s">
        <v>1010</v>
      </c>
      <c r="C460" s="251">
        <v>39275</v>
      </c>
      <c r="D460" s="226" t="s">
        <v>1396</v>
      </c>
      <c r="E460" s="575" t="s">
        <v>1790</v>
      </c>
      <c r="F460" s="226" t="s">
        <v>21</v>
      </c>
      <c r="G460" s="226" t="s">
        <v>1023</v>
      </c>
      <c r="H460" s="9" t="s">
        <v>994</v>
      </c>
      <c r="I460" s="2" t="s">
        <v>1101</v>
      </c>
      <c r="J460" s="3" t="s">
        <v>1102</v>
      </c>
      <c r="K460" s="9" t="s">
        <v>18</v>
      </c>
      <c r="L460" s="13">
        <v>100000</v>
      </c>
      <c r="M460" s="256">
        <v>100000</v>
      </c>
    </row>
    <row r="461" spans="2:13" s="257" customFormat="1" ht="15" customHeight="1" x14ac:dyDescent="0.2">
      <c r="B461" s="12" t="s">
        <v>1012</v>
      </c>
      <c r="C461" s="251">
        <v>39304</v>
      </c>
      <c r="D461" s="226" t="s">
        <v>1397</v>
      </c>
      <c r="E461" s="575" t="s">
        <v>1791</v>
      </c>
      <c r="F461" s="226" t="s">
        <v>380</v>
      </c>
      <c r="G461" s="226" t="s">
        <v>1026</v>
      </c>
      <c r="H461" s="9" t="s">
        <v>994</v>
      </c>
      <c r="I461" s="2" t="s">
        <v>966</v>
      </c>
      <c r="J461" s="297" t="s">
        <v>1040</v>
      </c>
      <c r="K461" s="9" t="s">
        <v>18</v>
      </c>
      <c r="L461" s="13">
        <v>1179.25</v>
      </c>
      <c r="M461" s="256">
        <v>1179</v>
      </c>
    </row>
    <row r="462" spans="2:13" s="257" customFormat="1" ht="15" customHeight="1" x14ac:dyDescent="0.2">
      <c r="B462" s="12" t="s">
        <v>1013</v>
      </c>
      <c r="C462" s="251">
        <v>39366</v>
      </c>
      <c r="D462" s="226" t="s">
        <v>1398</v>
      </c>
      <c r="E462" s="575" t="s">
        <v>1018</v>
      </c>
      <c r="F462" s="226" t="s">
        <v>54</v>
      </c>
      <c r="G462" s="226" t="s">
        <v>1027</v>
      </c>
      <c r="H462" s="9" t="s">
        <v>994</v>
      </c>
      <c r="I462" s="2" t="s">
        <v>1101</v>
      </c>
      <c r="J462" s="3" t="s">
        <v>1102</v>
      </c>
      <c r="K462" s="9" t="s">
        <v>18</v>
      </c>
      <c r="L462" s="13">
        <v>200000</v>
      </c>
      <c r="M462" s="256">
        <v>200000</v>
      </c>
    </row>
    <row r="463" spans="2:13" s="257" customFormat="1" ht="30" customHeight="1" x14ac:dyDescent="0.2">
      <c r="B463" s="12" t="s">
        <v>1014</v>
      </c>
      <c r="C463" s="251">
        <v>39408</v>
      </c>
      <c r="D463" s="226" t="s">
        <v>1399</v>
      </c>
      <c r="E463" s="576" t="s">
        <v>1606</v>
      </c>
      <c r="F463" s="226" t="s">
        <v>1028</v>
      </c>
      <c r="G463" s="226" t="s">
        <v>1029</v>
      </c>
      <c r="H463" s="9" t="s">
        <v>994</v>
      </c>
      <c r="I463" s="2" t="s">
        <v>1035</v>
      </c>
      <c r="J463" s="3" t="s">
        <v>1036</v>
      </c>
      <c r="K463" s="9" t="s">
        <v>18</v>
      </c>
      <c r="L463" s="13">
        <v>3993</v>
      </c>
      <c r="M463" s="256">
        <v>3993</v>
      </c>
    </row>
    <row r="464" spans="2:13" s="257" customFormat="1" ht="13.5" thickBot="1" x14ac:dyDescent="0.25">
      <c r="B464" s="299"/>
      <c r="C464" s="300"/>
      <c r="D464" s="301"/>
      <c r="E464" s="577"/>
      <c r="F464" s="301"/>
      <c r="G464" s="301"/>
      <c r="H464" s="304"/>
      <c r="I464" s="305"/>
      <c r="J464" s="306"/>
      <c r="K464" s="303"/>
      <c r="L464" s="307"/>
      <c r="M464" s="308"/>
    </row>
    <row r="465" spans="2:13" s="257" customFormat="1" ht="13.5" thickTop="1" x14ac:dyDescent="0.2">
      <c r="B465" s="309"/>
      <c r="C465" s="310"/>
      <c r="D465" s="311"/>
      <c r="E465" s="578"/>
      <c r="F465" s="311"/>
      <c r="G465" s="315"/>
      <c r="H465" s="316"/>
      <c r="I465" s="317"/>
      <c r="J465" s="318"/>
      <c r="K465" s="314"/>
      <c r="L465" s="319"/>
      <c r="M465" s="320"/>
    </row>
    <row r="466" spans="2:13" s="257" customFormat="1" ht="18" x14ac:dyDescent="0.2">
      <c r="B466" s="90">
        <v>2008</v>
      </c>
      <c r="C466" s="310"/>
      <c r="D466" s="311"/>
      <c r="E466" s="578"/>
      <c r="F466" s="311"/>
      <c r="G466" s="311"/>
      <c r="H466" s="316"/>
      <c r="I466" s="317"/>
      <c r="J466" s="318"/>
      <c r="K466" s="314"/>
      <c r="L466" s="319"/>
      <c r="M466" s="321">
        <f>+M468+M473</f>
        <v>1043274.95</v>
      </c>
    </row>
    <row r="467" spans="2:13" s="257" customFormat="1" x14ac:dyDescent="0.2">
      <c r="B467" s="309"/>
      <c r="C467" s="310"/>
      <c r="D467" s="311"/>
      <c r="E467" s="578"/>
      <c r="F467" s="311"/>
      <c r="G467" s="311"/>
      <c r="H467" s="316"/>
      <c r="I467" s="317"/>
      <c r="J467" s="318"/>
      <c r="K467" s="314"/>
      <c r="L467" s="319"/>
      <c r="M467" s="320"/>
    </row>
    <row r="468" spans="2:13" s="257" customFormat="1" x14ac:dyDescent="0.2">
      <c r="B468" s="322" t="s">
        <v>701</v>
      </c>
      <c r="C468" s="251"/>
      <c r="D468" s="226"/>
      <c r="E468" s="575"/>
      <c r="F468" s="226"/>
      <c r="G468" s="226"/>
      <c r="H468" s="9"/>
      <c r="I468" s="2"/>
      <c r="J468" s="3"/>
      <c r="K468" s="9"/>
      <c r="L468" s="323"/>
      <c r="M468" s="296">
        <f>SUM(M469:M471)</f>
        <v>109417.02</v>
      </c>
    </row>
    <row r="469" spans="2:13" s="257" customFormat="1" ht="15" customHeight="1" x14ac:dyDescent="0.2">
      <c r="B469" s="12" t="s">
        <v>502</v>
      </c>
      <c r="C469" s="11">
        <v>39767</v>
      </c>
      <c r="D469" s="226" t="s">
        <v>327</v>
      </c>
      <c r="E469" s="575" t="s">
        <v>521</v>
      </c>
      <c r="F469" s="226" t="s">
        <v>54</v>
      </c>
      <c r="G469" s="226" t="s">
        <v>1022</v>
      </c>
      <c r="H469" s="324">
        <v>3.3799999999999997E-2</v>
      </c>
      <c r="I469" s="2" t="s">
        <v>1101</v>
      </c>
      <c r="J469" s="3" t="s">
        <v>909</v>
      </c>
      <c r="K469" s="9" t="s">
        <v>790</v>
      </c>
      <c r="L469" s="13">
        <v>15000</v>
      </c>
      <c r="M469" s="256">
        <v>18900</v>
      </c>
    </row>
    <row r="470" spans="2:13" s="257" customFormat="1" ht="15" customHeight="1" x14ac:dyDescent="0.2">
      <c r="B470" s="12" t="s">
        <v>503</v>
      </c>
      <c r="C470" s="11">
        <v>39772</v>
      </c>
      <c r="D470" s="226" t="s">
        <v>515</v>
      </c>
      <c r="E470" s="575" t="s">
        <v>522</v>
      </c>
      <c r="F470" s="226" t="s">
        <v>88</v>
      </c>
      <c r="G470" s="226" t="s">
        <v>528</v>
      </c>
      <c r="H470" s="325" t="s">
        <v>537</v>
      </c>
      <c r="I470" s="2" t="s">
        <v>916</v>
      </c>
      <c r="J470" s="3" t="s">
        <v>909</v>
      </c>
      <c r="K470" s="9" t="s">
        <v>74</v>
      </c>
      <c r="L470" s="13">
        <v>6660000</v>
      </c>
      <c r="M470" s="256">
        <v>69410.52</v>
      </c>
    </row>
    <row r="471" spans="2:13" s="257" customFormat="1" ht="15" customHeight="1" x14ac:dyDescent="0.2">
      <c r="B471" s="12" t="s">
        <v>504</v>
      </c>
      <c r="C471" s="11">
        <v>39813</v>
      </c>
      <c r="D471" s="226" t="s">
        <v>327</v>
      </c>
      <c r="E471" s="575" t="s">
        <v>525</v>
      </c>
      <c r="F471" s="226" t="s">
        <v>54</v>
      </c>
      <c r="G471" s="226" t="s">
        <v>1022</v>
      </c>
      <c r="H471" s="326" t="s">
        <v>541</v>
      </c>
      <c r="I471" s="2" t="s">
        <v>1101</v>
      </c>
      <c r="J471" s="3" t="s">
        <v>532</v>
      </c>
      <c r="K471" s="9" t="s">
        <v>790</v>
      </c>
      <c r="L471" s="13">
        <v>15000</v>
      </c>
      <c r="M471" s="256">
        <v>21106.5</v>
      </c>
    </row>
    <row r="472" spans="2:13" s="257" customFormat="1" x14ac:dyDescent="0.2">
      <c r="B472" s="12"/>
      <c r="C472" s="11"/>
      <c r="D472" s="226"/>
      <c r="E472" s="575"/>
      <c r="F472" s="226"/>
      <c r="G472" s="226"/>
      <c r="H472" s="12"/>
      <c r="I472" s="2"/>
      <c r="J472" s="3"/>
      <c r="K472" s="9"/>
      <c r="L472" s="13"/>
      <c r="M472" s="256"/>
    </row>
    <row r="473" spans="2:13" s="257" customFormat="1" x14ac:dyDescent="0.2">
      <c r="B473" s="295" t="s">
        <v>555</v>
      </c>
      <c r="C473" s="11"/>
      <c r="D473" s="226"/>
      <c r="E473" s="575"/>
      <c r="F473" s="226"/>
      <c r="G473" s="226"/>
      <c r="H473" s="12"/>
      <c r="I473" s="2"/>
      <c r="J473" s="3"/>
      <c r="K473" s="9"/>
      <c r="L473" s="13"/>
      <c r="M473" s="296">
        <f>SUM(M474:M483)</f>
        <v>933857.92999999993</v>
      </c>
    </row>
    <row r="474" spans="2:13" s="257" customFormat="1" ht="15" customHeight="1" x14ac:dyDescent="0.2">
      <c r="B474" s="12" t="s">
        <v>505</v>
      </c>
      <c r="C474" s="11">
        <v>39513</v>
      </c>
      <c r="D474" s="226" t="s">
        <v>1400</v>
      </c>
      <c r="E474" s="575" t="s">
        <v>516</v>
      </c>
      <c r="F474" s="226" t="s">
        <v>11</v>
      </c>
      <c r="G474" s="226" t="s">
        <v>527</v>
      </c>
      <c r="H474" s="12" t="s">
        <v>956</v>
      </c>
      <c r="I474" s="2" t="s">
        <v>909</v>
      </c>
      <c r="J474" s="297" t="s">
        <v>535</v>
      </c>
      <c r="K474" s="9" t="s">
        <v>18</v>
      </c>
      <c r="L474" s="13">
        <v>20000</v>
      </c>
      <c r="M474" s="256">
        <v>20000</v>
      </c>
    </row>
    <row r="475" spans="2:13" s="257" customFormat="1" ht="15" customHeight="1" x14ac:dyDescent="0.2">
      <c r="B475" s="12" t="s">
        <v>506</v>
      </c>
      <c r="C475" s="11">
        <v>39520</v>
      </c>
      <c r="D475" s="226" t="s">
        <v>1401</v>
      </c>
      <c r="E475" s="575" t="s">
        <v>517</v>
      </c>
      <c r="F475" s="226" t="s">
        <v>54</v>
      </c>
      <c r="G475" s="226" t="s">
        <v>1022</v>
      </c>
      <c r="H475" s="12" t="s">
        <v>956</v>
      </c>
      <c r="I475" s="255" t="s">
        <v>536</v>
      </c>
      <c r="J475" s="297" t="s">
        <v>536</v>
      </c>
      <c r="K475" s="9" t="s">
        <v>18</v>
      </c>
      <c r="L475" s="13">
        <v>150000</v>
      </c>
      <c r="M475" s="256">
        <v>150000</v>
      </c>
    </row>
    <row r="476" spans="2:13" s="257" customFormat="1" ht="15" customHeight="1" x14ac:dyDescent="0.2">
      <c r="B476" s="12" t="s">
        <v>507</v>
      </c>
      <c r="C476" s="11">
        <v>39583</v>
      </c>
      <c r="D476" s="226" t="s">
        <v>1402</v>
      </c>
      <c r="E476" s="575" t="s">
        <v>518</v>
      </c>
      <c r="F476" s="226" t="s">
        <v>54</v>
      </c>
      <c r="G476" s="226" t="s">
        <v>1022</v>
      </c>
      <c r="H476" s="12" t="s">
        <v>994</v>
      </c>
      <c r="I476" s="2" t="s">
        <v>1101</v>
      </c>
      <c r="J476" s="3" t="s">
        <v>1102</v>
      </c>
      <c r="K476" s="9" t="s">
        <v>18</v>
      </c>
      <c r="L476" s="13">
        <v>100000</v>
      </c>
      <c r="M476" s="256">
        <v>100000</v>
      </c>
    </row>
    <row r="477" spans="2:13" s="257" customFormat="1" ht="15" customHeight="1" x14ac:dyDescent="0.2">
      <c r="B477" s="12" t="s">
        <v>508</v>
      </c>
      <c r="C477" s="11">
        <v>39633</v>
      </c>
      <c r="D477" s="226" t="s">
        <v>1403</v>
      </c>
      <c r="E477" s="575" t="s">
        <v>519</v>
      </c>
      <c r="F477" s="226" t="s">
        <v>54</v>
      </c>
      <c r="G477" s="226" t="s">
        <v>1022</v>
      </c>
      <c r="H477" s="12" t="s">
        <v>994</v>
      </c>
      <c r="I477" s="2" t="s">
        <v>1101</v>
      </c>
      <c r="J477" s="3" t="s">
        <v>1102</v>
      </c>
      <c r="K477" s="9" t="s">
        <v>18</v>
      </c>
      <c r="L477" s="13">
        <v>75000</v>
      </c>
      <c r="M477" s="256">
        <v>75000</v>
      </c>
    </row>
    <row r="478" spans="2:13" s="257" customFormat="1" ht="15" customHeight="1" x14ac:dyDescent="0.2">
      <c r="B478" s="12" t="s">
        <v>509</v>
      </c>
      <c r="C478" s="11">
        <v>39634</v>
      </c>
      <c r="D478" s="226" t="s">
        <v>1404</v>
      </c>
      <c r="E478" s="575" t="s">
        <v>520</v>
      </c>
      <c r="F478" s="226" t="s">
        <v>88</v>
      </c>
      <c r="G478" s="226" t="s">
        <v>89</v>
      </c>
      <c r="H478" s="12" t="s">
        <v>994</v>
      </c>
      <c r="I478" s="2" t="s">
        <v>971</v>
      </c>
      <c r="J478" s="3" t="s">
        <v>531</v>
      </c>
      <c r="K478" s="9" t="s">
        <v>18</v>
      </c>
      <c r="L478" s="13">
        <v>50000</v>
      </c>
      <c r="M478" s="256">
        <v>50000</v>
      </c>
    </row>
    <row r="479" spans="2:13" s="257" customFormat="1" ht="15" customHeight="1" x14ac:dyDescent="0.2">
      <c r="B479" s="12" t="s">
        <v>510</v>
      </c>
      <c r="C479" s="11">
        <v>39782</v>
      </c>
      <c r="D479" s="226" t="s">
        <v>1405</v>
      </c>
      <c r="E479" s="575" t="s">
        <v>523</v>
      </c>
      <c r="F479" s="226" t="s">
        <v>54</v>
      </c>
      <c r="G479" s="226" t="s">
        <v>1022</v>
      </c>
      <c r="H479" s="12" t="s">
        <v>956</v>
      </c>
      <c r="I479" s="255" t="s">
        <v>538</v>
      </c>
      <c r="J479" s="297" t="s">
        <v>538</v>
      </c>
      <c r="K479" s="9" t="s">
        <v>18</v>
      </c>
      <c r="L479" s="13">
        <v>70000</v>
      </c>
      <c r="M479" s="256">
        <v>70000</v>
      </c>
    </row>
    <row r="480" spans="2:13" s="257" customFormat="1" ht="15" customHeight="1" x14ac:dyDescent="0.2">
      <c r="B480" s="12" t="s">
        <v>511</v>
      </c>
      <c r="C480" s="11">
        <v>39793</v>
      </c>
      <c r="D480" s="226" t="s">
        <v>1406</v>
      </c>
      <c r="E480" s="575" t="s">
        <v>524</v>
      </c>
      <c r="F480" s="226" t="s">
        <v>11</v>
      </c>
      <c r="G480" s="226" t="s">
        <v>527</v>
      </c>
      <c r="H480" s="12" t="s">
        <v>957</v>
      </c>
      <c r="I480" s="294" t="s">
        <v>539</v>
      </c>
      <c r="J480" s="327" t="s">
        <v>539</v>
      </c>
      <c r="K480" s="9" t="s">
        <v>133</v>
      </c>
      <c r="L480" s="13">
        <v>9300</v>
      </c>
      <c r="M480" s="256">
        <v>13857.93</v>
      </c>
    </row>
    <row r="481" spans="2:13" s="257" customFormat="1" ht="15" customHeight="1" x14ac:dyDescent="0.2">
      <c r="B481" s="12" t="s">
        <v>512</v>
      </c>
      <c r="C481" s="11">
        <v>39793</v>
      </c>
      <c r="D481" s="226" t="s">
        <v>1407</v>
      </c>
      <c r="E481" s="575" t="s">
        <v>525</v>
      </c>
      <c r="F481" s="226" t="s">
        <v>54</v>
      </c>
      <c r="G481" s="226" t="s">
        <v>1022</v>
      </c>
      <c r="H481" s="12" t="s">
        <v>994</v>
      </c>
      <c r="I481" s="2" t="s">
        <v>1101</v>
      </c>
      <c r="J481" s="3" t="s">
        <v>1102</v>
      </c>
      <c r="K481" s="9" t="s">
        <v>18</v>
      </c>
      <c r="L481" s="13">
        <v>130000</v>
      </c>
      <c r="M481" s="256">
        <v>130000</v>
      </c>
    </row>
    <row r="482" spans="2:13" s="257" customFormat="1" ht="15" customHeight="1" x14ac:dyDescent="0.2">
      <c r="B482" s="12" t="s">
        <v>513</v>
      </c>
      <c r="C482" s="11">
        <v>39807</v>
      </c>
      <c r="D482" s="226" t="s">
        <v>1408</v>
      </c>
      <c r="E482" s="575" t="s">
        <v>526</v>
      </c>
      <c r="F482" s="226" t="s">
        <v>11</v>
      </c>
      <c r="G482" s="226" t="s">
        <v>992</v>
      </c>
      <c r="H482" s="12" t="s">
        <v>994</v>
      </c>
      <c r="I482" s="2" t="s">
        <v>1101</v>
      </c>
      <c r="J482" s="3" t="s">
        <v>1102</v>
      </c>
      <c r="K482" s="9" t="s">
        <v>18</v>
      </c>
      <c r="L482" s="13">
        <v>25000</v>
      </c>
      <c r="M482" s="256">
        <v>25000</v>
      </c>
    </row>
    <row r="483" spans="2:13" s="257" customFormat="1" ht="15" customHeight="1" x14ac:dyDescent="0.2">
      <c r="B483" s="12" t="s">
        <v>514</v>
      </c>
      <c r="C483" s="11">
        <v>39813</v>
      </c>
      <c r="D483" s="226" t="s">
        <v>1409</v>
      </c>
      <c r="E483" s="575" t="s">
        <v>1792</v>
      </c>
      <c r="F483" s="226" t="s">
        <v>21</v>
      </c>
      <c r="G483" s="226" t="s">
        <v>529</v>
      </c>
      <c r="H483" s="328" t="s">
        <v>540</v>
      </c>
      <c r="I483" s="2" t="s">
        <v>530</v>
      </c>
      <c r="J483" s="3" t="s">
        <v>965</v>
      </c>
      <c r="K483" s="9" t="s">
        <v>18</v>
      </c>
      <c r="L483" s="13">
        <v>300000</v>
      </c>
      <c r="M483" s="256">
        <v>300000</v>
      </c>
    </row>
    <row r="484" spans="2:13" s="257" customFormat="1" ht="13.5" thickBot="1" x14ac:dyDescent="0.25">
      <c r="B484" s="128"/>
      <c r="C484" s="329"/>
      <c r="D484" s="221"/>
      <c r="E484" s="579"/>
      <c r="F484" s="221"/>
      <c r="G484" s="330"/>
      <c r="H484" s="331"/>
      <c r="I484" s="222"/>
      <c r="J484" s="330"/>
      <c r="K484" s="302"/>
      <c r="L484" s="332"/>
      <c r="M484" s="308"/>
    </row>
    <row r="485" spans="2:13" s="257" customFormat="1" ht="13.5" thickTop="1" x14ac:dyDescent="0.2">
      <c r="B485" s="124"/>
      <c r="C485" s="333"/>
      <c r="D485" s="217"/>
      <c r="E485" s="580"/>
      <c r="F485" s="217"/>
      <c r="G485" s="217"/>
      <c r="H485" s="219"/>
      <c r="I485" s="219"/>
      <c r="J485" s="334"/>
      <c r="L485" s="277"/>
      <c r="M485" s="320"/>
    </row>
    <row r="486" spans="2:13" s="257" customFormat="1" ht="18" x14ac:dyDescent="0.2">
      <c r="B486" s="90">
        <v>2009</v>
      </c>
      <c r="C486" s="333"/>
      <c r="D486" s="217"/>
      <c r="E486" s="580"/>
      <c r="F486" s="217"/>
      <c r="G486" s="217"/>
      <c r="H486" s="219"/>
      <c r="I486" s="219"/>
      <c r="J486" s="334"/>
      <c r="L486" s="277"/>
      <c r="M486" s="321">
        <f>+M488+M495</f>
        <v>754631</v>
      </c>
    </row>
    <row r="487" spans="2:13" s="257" customFormat="1" x14ac:dyDescent="0.2">
      <c r="B487" s="124"/>
      <c r="C487" s="333"/>
      <c r="D487" s="217"/>
      <c r="E487" s="580"/>
      <c r="F487" s="217"/>
      <c r="G487" s="217"/>
      <c r="H487" s="335"/>
      <c r="I487" s="219"/>
      <c r="J487" s="334"/>
      <c r="L487" s="277"/>
      <c r="M487" s="320"/>
    </row>
    <row r="488" spans="2:13" s="257" customFormat="1" x14ac:dyDescent="0.2">
      <c r="B488" s="322" t="s">
        <v>701</v>
      </c>
      <c r="C488" s="336"/>
      <c r="D488" s="436"/>
      <c r="E488" s="571"/>
      <c r="F488" s="226"/>
      <c r="G488" s="12"/>
      <c r="H488" s="12"/>
      <c r="I488" s="9"/>
      <c r="J488" s="227"/>
      <c r="K488" s="275"/>
      <c r="L488" s="298"/>
      <c r="M488" s="296">
        <f>SUM(M489:M493)</f>
        <v>212631</v>
      </c>
    </row>
    <row r="489" spans="2:13" s="257" customFormat="1" ht="15" customHeight="1" x14ac:dyDescent="0.2">
      <c r="B489" s="12" t="s">
        <v>1110</v>
      </c>
      <c r="C489" s="11">
        <v>39897</v>
      </c>
      <c r="D489" s="436" t="s">
        <v>515</v>
      </c>
      <c r="E489" s="571" t="s">
        <v>1793</v>
      </c>
      <c r="F489" s="226" t="s">
        <v>1140</v>
      </c>
      <c r="G489" s="9" t="s">
        <v>528</v>
      </c>
      <c r="H489" s="1" t="s">
        <v>1164</v>
      </c>
      <c r="I489" s="2" t="s">
        <v>916</v>
      </c>
      <c r="J489" s="3" t="s">
        <v>909</v>
      </c>
      <c r="K489" s="9" t="s">
        <v>74</v>
      </c>
      <c r="L489" s="13">
        <v>755000</v>
      </c>
      <c r="M489" s="256">
        <v>7741</v>
      </c>
    </row>
    <row r="490" spans="2:13" s="257" customFormat="1" ht="30" customHeight="1" x14ac:dyDescent="0.2">
      <c r="B490" s="439" t="s">
        <v>1111</v>
      </c>
      <c r="C490" s="440">
        <v>39897</v>
      </c>
      <c r="D490" s="439" t="s">
        <v>515</v>
      </c>
      <c r="E490" s="581" t="s">
        <v>1127</v>
      </c>
      <c r="F490" s="226" t="s">
        <v>88</v>
      </c>
      <c r="G490" s="434" t="s">
        <v>1141</v>
      </c>
      <c r="H490" s="441" t="s">
        <v>1165</v>
      </c>
      <c r="I490" s="434" t="s">
        <v>916</v>
      </c>
      <c r="J490" s="451" t="s">
        <v>909</v>
      </c>
      <c r="K490" s="434" t="s">
        <v>74</v>
      </c>
      <c r="L490" s="452">
        <v>4995000</v>
      </c>
      <c r="M490" s="256">
        <v>51214</v>
      </c>
    </row>
    <row r="491" spans="2:13" s="257" customFormat="1" ht="15" customHeight="1" x14ac:dyDescent="0.2">
      <c r="B491" s="12" t="s">
        <v>1112</v>
      </c>
      <c r="C491" s="11">
        <v>39897</v>
      </c>
      <c r="D491" s="436" t="s">
        <v>515</v>
      </c>
      <c r="E491" s="571" t="s">
        <v>1128</v>
      </c>
      <c r="F491" s="226" t="s">
        <v>1140</v>
      </c>
      <c r="G491" s="9" t="s">
        <v>1142</v>
      </c>
      <c r="H491" s="1" t="s">
        <v>1164</v>
      </c>
      <c r="I491" s="2" t="s">
        <v>916</v>
      </c>
      <c r="J491" s="3" t="s">
        <v>909</v>
      </c>
      <c r="K491" s="9" t="s">
        <v>74</v>
      </c>
      <c r="L491" s="13">
        <v>4171000</v>
      </c>
      <c r="M491" s="256">
        <v>42765</v>
      </c>
    </row>
    <row r="492" spans="2:13" s="257" customFormat="1" ht="30" customHeight="1" x14ac:dyDescent="0.2">
      <c r="B492" s="436" t="s">
        <v>1116</v>
      </c>
      <c r="C492" s="438">
        <v>40079</v>
      </c>
      <c r="D492" s="436" t="s">
        <v>515</v>
      </c>
      <c r="E492" s="581" t="s">
        <v>1794</v>
      </c>
      <c r="F492" s="226" t="s">
        <v>88</v>
      </c>
      <c r="G492" s="437" t="s">
        <v>89</v>
      </c>
      <c r="H492" s="441" t="s">
        <v>1168</v>
      </c>
      <c r="I492" s="434" t="s">
        <v>1100</v>
      </c>
      <c r="J492" s="435" t="s">
        <v>1092</v>
      </c>
      <c r="K492" s="437" t="s">
        <v>74</v>
      </c>
      <c r="L492" s="254">
        <v>5550000</v>
      </c>
      <c r="M492" s="256">
        <v>60911</v>
      </c>
    </row>
    <row r="493" spans="2:13" s="257" customFormat="1" ht="38.25" x14ac:dyDescent="0.2">
      <c r="B493" s="10" t="s">
        <v>1126</v>
      </c>
      <c r="C493" s="11">
        <v>40178</v>
      </c>
      <c r="D493" s="436" t="s">
        <v>327</v>
      </c>
      <c r="E493" s="581" t="s">
        <v>1795</v>
      </c>
      <c r="F493" s="226" t="s">
        <v>88</v>
      </c>
      <c r="G493" s="9" t="s">
        <v>89</v>
      </c>
      <c r="H493" s="1" t="s">
        <v>541</v>
      </c>
      <c r="I493" s="2" t="s">
        <v>1151</v>
      </c>
      <c r="J493" s="3" t="s">
        <v>1152</v>
      </c>
      <c r="K493" s="4" t="s">
        <v>18</v>
      </c>
      <c r="L493" s="13">
        <v>50000</v>
      </c>
      <c r="M493" s="5">
        <v>50000</v>
      </c>
    </row>
    <row r="494" spans="2:13" s="257" customFormat="1" x14ac:dyDescent="0.2">
      <c r="B494" s="10"/>
      <c r="C494" s="11"/>
      <c r="D494" s="436"/>
      <c r="E494" s="581"/>
      <c r="F494" s="226"/>
      <c r="G494" s="9"/>
      <c r="H494" s="6"/>
      <c r="I494" s="2"/>
      <c r="J494" s="3"/>
      <c r="K494" s="4"/>
      <c r="L494" s="13"/>
      <c r="M494" s="256"/>
    </row>
    <row r="495" spans="2:13" s="257" customFormat="1" x14ac:dyDescent="0.2">
      <c r="B495" s="295" t="s">
        <v>555</v>
      </c>
      <c r="C495" s="11"/>
      <c r="D495" s="436"/>
      <c r="E495" s="581"/>
      <c r="F495" s="226"/>
      <c r="G495" s="9"/>
      <c r="H495" s="6"/>
      <c r="I495" s="2"/>
      <c r="J495" s="3"/>
      <c r="K495" s="4"/>
      <c r="L495" s="13"/>
      <c r="M495" s="296">
        <f>SUM(M496:M509)</f>
        <v>542000</v>
      </c>
    </row>
    <row r="496" spans="2:13" s="257" customFormat="1" ht="15" customHeight="1" x14ac:dyDescent="0.2">
      <c r="B496" s="12" t="s">
        <v>1113</v>
      </c>
      <c r="C496" s="11">
        <v>40012</v>
      </c>
      <c r="D496" s="436" t="s">
        <v>1410</v>
      </c>
      <c r="E496" s="571" t="s">
        <v>1129</v>
      </c>
      <c r="F496" s="226" t="s">
        <v>54</v>
      </c>
      <c r="G496" s="9" t="s">
        <v>1143</v>
      </c>
      <c r="H496" s="12" t="s">
        <v>1147</v>
      </c>
      <c r="I496" s="9">
        <f>66/12</f>
        <v>5.5</v>
      </c>
      <c r="J496" s="3" t="s">
        <v>1149</v>
      </c>
      <c r="K496" s="9" t="s">
        <v>18</v>
      </c>
      <c r="L496" s="13">
        <v>10000</v>
      </c>
      <c r="M496" s="5">
        <v>10000</v>
      </c>
    </row>
    <row r="497" spans="2:13" s="257" customFormat="1" ht="15" customHeight="1" x14ac:dyDescent="0.2">
      <c r="B497" s="12" t="s">
        <v>1114</v>
      </c>
      <c r="C497" s="11">
        <v>40059</v>
      </c>
      <c r="D497" s="436" t="s">
        <v>1411</v>
      </c>
      <c r="E497" s="571" t="s">
        <v>1130</v>
      </c>
      <c r="F497" s="226" t="s">
        <v>54</v>
      </c>
      <c r="G497" s="9" t="s">
        <v>1143</v>
      </c>
      <c r="H497" s="12" t="s">
        <v>956</v>
      </c>
      <c r="I497" s="337" t="s">
        <v>1166</v>
      </c>
      <c r="J497" s="338" t="s">
        <v>1166</v>
      </c>
      <c r="K497" s="9" t="s">
        <v>18</v>
      </c>
      <c r="L497" s="13">
        <v>20000</v>
      </c>
      <c r="M497" s="5">
        <v>20000</v>
      </c>
    </row>
    <row r="498" spans="2:13" s="257" customFormat="1" ht="15" customHeight="1" x14ac:dyDescent="0.2">
      <c r="B498" s="12" t="s">
        <v>1115</v>
      </c>
      <c r="C498" s="11">
        <v>40059</v>
      </c>
      <c r="D498" s="436" t="s">
        <v>1412</v>
      </c>
      <c r="E498" s="571" t="s">
        <v>1131</v>
      </c>
      <c r="F498" s="226" t="s">
        <v>54</v>
      </c>
      <c r="G498" s="9" t="s">
        <v>1143</v>
      </c>
      <c r="H498" s="12" t="s">
        <v>956</v>
      </c>
      <c r="I498" s="337" t="s">
        <v>1167</v>
      </c>
      <c r="J498" s="338" t="s">
        <v>1167</v>
      </c>
      <c r="K498" s="9" t="s">
        <v>18</v>
      </c>
      <c r="L498" s="13">
        <v>20000</v>
      </c>
      <c r="M498" s="5">
        <v>20000</v>
      </c>
    </row>
    <row r="499" spans="2:13" s="257" customFormat="1" ht="15" customHeight="1" x14ac:dyDescent="0.2">
      <c r="B499" s="12" t="s">
        <v>1117</v>
      </c>
      <c r="C499" s="11">
        <v>40080</v>
      </c>
      <c r="D499" s="436" t="s">
        <v>1413</v>
      </c>
      <c r="E499" s="571" t="s">
        <v>1132</v>
      </c>
      <c r="F499" s="226" t="s">
        <v>54</v>
      </c>
      <c r="G499" s="9" t="s">
        <v>1143</v>
      </c>
      <c r="H499" s="12" t="s">
        <v>1148</v>
      </c>
      <c r="I499" s="9">
        <f>66/12</f>
        <v>5.5</v>
      </c>
      <c r="J499" s="3" t="s">
        <v>1149</v>
      </c>
      <c r="K499" s="9" t="s">
        <v>18</v>
      </c>
      <c r="L499" s="13">
        <v>20000</v>
      </c>
      <c r="M499" s="5">
        <v>20000</v>
      </c>
    </row>
    <row r="500" spans="2:13" s="257" customFormat="1" ht="15" customHeight="1" x14ac:dyDescent="0.2">
      <c r="B500" s="12" t="s">
        <v>1118</v>
      </c>
      <c r="C500" s="11">
        <v>40108</v>
      </c>
      <c r="D500" s="436" t="s">
        <v>1415</v>
      </c>
      <c r="E500" s="571" t="s">
        <v>1796</v>
      </c>
      <c r="F500" s="226" t="s">
        <v>141</v>
      </c>
      <c r="G500" s="9" t="s">
        <v>1144</v>
      </c>
      <c r="H500" s="12" t="s">
        <v>956</v>
      </c>
      <c r="I500" s="2" t="s">
        <v>909</v>
      </c>
      <c r="J500" s="338" t="s">
        <v>1169</v>
      </c>
      <c r="K500" s="9" t="s">
        <v>18</v>
      </c>
      <c r="L500" s="13">
        <v>15000</v>
      </c>
      <c r="M500" s="5">
        <v>15000</v>
      </c>
    </row>
    <row r="501" spans="2:13" s="257" customFormat="1" ht="15" customHeight="1" x14ac:dyDescent="0.2">
      <c r="B501" s="12" t="s">
        <v>1118</v>
      </c>
      <c r="C501" s="11">
        <v>40108</v>
      </c>
      <c r="D501" s="436" t="s">
        <v>1414</v>
      </c>
      <c r="E501" s="571" t="s">
        <v>1796</v>
      </c>
      <c r="F501" s="226" t="s">
        <v>141</v>
      </c>
      <c r="G501" s="9" t="s">
        <v>1144</v>
      </c>
      <c r="H501" s="12" t="s">
        <v>1148</v>
      </c>
      <c r="I501" s="9">
        <f>66/12</f>
        <v>5.5</v>
      </c>
      <c r="J501" s="3" t="s">
        <v>1149</v>
      </c>
      <c r="K501" s="9" t="s">
        <v>18</v>
      </c>
      <c r="L501" s="13">
        <v>15000</v>
      </c>
      <c r="M501" s="5">
        <v>15000</v>
      </c>
    </row>
    <row r="502" spans="2:13" s="257" customFormat="1" ht="15" customHeight="1" x14ac:dyDescent="0.2">
      <c r="B502" s="12" t="s">
        <v>1119</v>
      </c>
      <c r="C502" s="11">
        <v>40115</v>
      </c>
      <c r="D502" s="436" t="s">
        <v>1416</v>
      </c>
      <c r="E502" s="571" t="s">
        <v>1133</v>
      </c>
      <c r="F502" s="226" t="s">
        <v>54</v>
      </c>
      <c r="G502" s="9" t="s">
        <v>1143</v>
      </c>
      <c r="H502" s="12" t="s">
        <v>1148</v>
      </c>
      <c r="I502" s="9">
        <f>66/12</f>
        <v>5.5</v>
      </c>
      <c r="J502" s="3" t="s">
        <v>1149</v>
      </c>
      <c r="K502" s="9" t="s">
        <v>18</v>
      </c>
      <c r="L502" s="13">
        <v>150000</v>
      </c>
      <c r="M502" s="5">
        <v>150000</v>
      </c>
    </row>
    <row r="503" spans="2:13" s="257" customFormat="1" ht="15" customHeight="1" x14ac:dyDescent="0.2">
      <c r="B503" s="12" t="s">
        <v>1120</v>
      </c>
      <c r="C503" s="11">
        <v>40136</v>
      </c>
      <c r="D503" s="436" t="s">
        <v>1418</v>
      </c>
      <c r="E503" s="571" t="s">
        <v>1134</v>
      </c>
      <c r="F503" s="226" t="s">
        <v>11</v>
      </c>
      <c r="G503" s="9" t="s">
        <v>1145</v>
      </c>
      <c r="H503" s="12" t="s">
        <v>956</v>
      </c>
      <c r="I503" s="9">
        <v>17.5</v>
      </c>
      <c r="J503" s="338" t="s">
        <v>1170</v>
      </c>
      <c r="K503" s="9" t="s">
        <v>18</v>
      </c>
      <c r="L503" s="13">
        <v>10000</v>
      </c>
      <c r="M503" s="5">
        <v>10000</v>
      </c>
    </row>
    <row r="504" spans="2:13" s="257" customFormat="1" ht="15" customHeight="1" x14ac:dyDescent="0.2">
      <c r="B504" s="12" t="s">
        <v>1120</v>
      </c>
      <c r="C504" s="11">
        <v>40136</v>
      </c>
      <c r="D504" s="436" t="s">
        <v>1417</v>
      </c>
      <c r="E504" s="571" t="s">
        <v>1134</v>
      </c>
      <c r="F504" s="226" t="s">
        <v>11</v>
      </c>
      <c r="G504" s="9" t="s">
        <v>1145</v>
      </c>
      <c r="H504" s="12" t="s">
        <v>1148</v>
      </c>
      <c r="I504" s="9" t="s">
        <v>916</v>
      </c>
      <c r="J504" s="3" t="s">
        <v>910</v>
      </c>
      <c r="K504" s="9" t="s">
        <v>18</v>
      </c>
      <c r="L504" s="13">
        <v>10000</v>
      </c>
      <c r="M504" s="5">
        <v>10000</v>
      </c>
    </row>
    <row r="505" spans="2:13" s="257" customFormat="1" ht="15" customHeight="1" x14ac:dyDescent="0.2">
      <c r="B505" s="12" t="s">
        <v>1121</v>
      </c>
      <c r="C505" s="11">
        <v>40151</v>
      </c>
      <c r="D505" s="436" t="s">
        <v>1419</v>
      </c>
      <c r="E505" s="571" t="s">
        <v>1135</v>
      </c>
      <c r="F505" s="226" t="s">
        <v>54</v>
      </c>
      <c r="G505" s="9" t="s">
        <v>1143</v>
      </c>
      <c r="H505" s="12" t="s">
        <v>956</v>
      </c>
      <c r="I505" s="9" t="s">
        <v>967</v>
      </c>
      <c r="J505" s="338" t="s">
        <v>1171</v>
      </c>
      <c r="K505" s="9" t="s">
        <v>18</v>
      </c>
      <c r="L505" s="13">
        <v>150000</v>
      </c>
      <c r="M505" s="5">
        <v>150000</v>
      </c>
    </row>
    <row r="506" spans="2:13" s="257" customFormat="1" ht="15" customHeight="1" x14ac:dyDescent="0.2">
      <c r="B506" s="12" t="s">
        <v>1122</v>
      </c>
      <c r="C506" s="11">
        <v>40151</v>
      </c>
      <c r="D506" s="436" t="s">
        <v>1420</v>
      </c>
      <c r="E506" s="571" t="s">
        <v>1136</v>
      </c>
      <c r="F506" s="226" t="s">
        <v>54</v>
      </c>
      <c r="G506" s="9" t="s">
        <v>1143</v>
      </c>
      <c r="H506" s="12" t="s">
        <v>1148</v>
      </c>
      <c r="I506" s="9">
        <f>66/12</f>
        <v>5.5</v>
      </c>
      <c r="J506" s="3" t="s">
        <v>1149</v>
      </c>
      <c r="K506" s="9" t="s">
        <v>18</v>
      </c>
      <c r="L506" s="13">
        <v>20000</v>
      </c>
      <c r="M506" s="5">
        <v>20000</v>
      </c>
    </row>
    <row r="507" spans="2:13" s="257" customFormat="1" ht="15" customHeight="1" x14ac:dyDescent="0.2">
      <c r="B507" s="12" t="s">
        <v>1123</v>
      </c>
      <c r="C507" s="11">
        <v>40164</v>
      </c>
      <c r="D507" s="436" t="s">
        <v>1421</v>
      </c>
      <c r="E507" s="571" t="s">
        <v>1137</v>
      </c>
      <c r="F507" s="226" t="s">
        <v>54</v>
      </c>
      <c r="G507" s="9" t="s">
        <v>1143</v>
      </c>
      <c r="H507" s="12" t="s">
        <v>1148</v>
      </c>
      <c r="I507" s="9">
        <f>66/12</f>
        <v>5.5</v>
      </c>
      <c r="J507" s="3" t="s">
        <v>1149</v>
      </c>
      <c r="K507" s="9" t="s">
        <v>18</v>
      </c>
      <c r="L507" s="13">
        <v>50000</v>
      </c>
      <c r="M507" s="5">
        <v>50000</v>
      </c>
    </row>
    <row r="508" spans="2:13" s="257" customFormat="1" ht="15" customHeight="1" x14ac:dyDescent="0.2">
      <c r="B508" s="12" t="s">
        <v>1124</v>
      </c>
      <c r="C508" s="11">
        <v>40164</v>
      </c>
      <c r="D508" s="436" t="s">
        <v>1422</v>
      </c>
      <c r="E508" s="571" t="s">
        <v>1138</v>
      </c>
      <c r="F508" s="226" t="s">
        <v>54</v>
      </c>
      <c r="G508" s="9" t="s">
        <v>1143</v>
      </c>
      <c r="H508" s="12" t="s">
        <v>956</v>
      </c>
      <c r="I508" s="9" t="s">
        <v>1150</v>
      </c>
      <c r="J508" s="338" t="s">
        <v>1172</v>
      </c>
      <c r="K508" s="9" t="s">
        <v>18</v>
      </c>
      <c r="L508" s="13">
        <v>50000</v>
      </c>
      <c r="M508" s="5">
        <v>50000</v>
      </c>
    </row>
    <row r="509" spans="2:13" s="257" customFormat="1" ht="15" customHeight="1" x14ac:dyDescent="0.2">
      <c r="B509" s="339" t="s">
        <v>1125</v>
      </c>
      <c r="C509" s="340">
        <v>40178</v>
      </c>
      <c r="D509" s="339" t="s">
        <v>1423</v>
      </c>
      <c r="E509" s="571" t="s">
        <v>1139</v>
      </c>
      <c r="F509" s="217" t="s">
        <v>54</v>
      </c>
      <c r="G509" s="314" t="s">
        <v>1146</v>
      </c>
      <c r="H509" s="339" t="s">
        <v>1148</v>
      </c>
      <c r="I509" s="314" t="s">
        <v>971</v>
      </c>
      <c r="J509" s="341" t="s">
        <v>972</v>
      </c>
      <c r="K509" s="314" t="s">
        <v>18</v>
      </c>
      <c r="L509" s="342">
        <v>2000</v>
      </c>
      <c r="M509" s="343">
        <v>2000</v>
      </c>
    </row>
    <row r="510" spans="2:13" s="257" customFormat="1" ht="13.5" thickBot="1" x14ac:dyDescent="0.25">
      <c r="B510" s="124"/>
      <c r="C510" s="333"/>
      <c r="D510" s="217"/>
      <c r="E510" s="582"/>
      <c r="F510" s="217"/>
      <c r="G510" s="334"/>
      <c r="H510" s="219"/>
      <c r="I510" s="219"/>
      <c r="J510" s="334"/>
      <c r="K510" s="247"/>
      <c r="L510" s="344"/>
      <c r="M510" s="320"/>
    </row>
    <row r="511" spans="2:13" s="257" customFormat="1" ht="13.5" thickTop="1" x14ac:dyDescent="0.2">
      <c r="B511" s="354"/>
      <c r="C511" s="498"/>
      <c r="D511" s="224"/>
      <c r="E511" s="583"/>
      <c r="F511" s="224"/>
      <c r="G511" s="499"/>
      <c r="H511" s="225"/>
      <c r="I511" s="225"/>
      <c r="J511" s="499"/>
      <c r="K511" s="246"/>
      <c r="L511" s="355"/>
      <c r="M511" s="500"/>
    </row>
    <row r="512" spans="2:13" s="257" customFormat="1" ht="18" x14ac:dyDescent="0.2">
      <c r="B512" s="90">
        <v>2010</v>
      </c>
      <c r="C512" s="333"/>
      <c r="D512" s="217"/>
      <c r="E512" s="582"/>
      <c r="F512" s="217"/>
      <c r="G512" s="334"/>
      <c r="H512" s="219"/>
      <c r="I512" s="219"/>
      <c r="J512" s="334"/>
      <c r="L512" s="277"/>
      <c r="M512" s="321">
        <f>+M514+M523</f>
        <v>1336402.82</v>
      </c>
    </row>
    <row r="513" spans="2:13" s="257" customFormat="1" x14ac:dyDescent="0.2">
      <c r="B513" s="124"/>
      <c r="C513" s="333"/>
      <c r="D513" s="217"/>
      <c r="E513" s="582"/>
      <c r="F513" s="217"/>
      <c r="G513" s="334"/>
      <c r="H513" s="219"/>
      <c r="I513" s="219"/>
      <c r="J513" s="334"/>
      <c r="L513" s="277"/>
      <c r="M513" s="320"/>
    </row>
    <row r="514" spans="2:13" s="257" customFormat="1" x14ac:dyDescent="0.2">
      <c r="B514" s="322" t="s">
        <v>701</v>
      </c>
      <c r="C514" s="336"/>
      <c r="D514" s="226"/>
      <c r="E514" s="571"/>
      <c r="F514" s="226"/>
      <c r="G514" s="226"/>
      <c r="H514" s="9"/>
      <c r="I514" s="9"/>
      <c r="J514" s="227"/>
      <c r="K514" s="275"/>
      <c r="L514" s="298"/>
      <c r="M514" s="296">
        <f>SUM(M515:M521)</f>
        <v>275712.53999999998</v>
      </c>
    </row>
    <row r="515" spans="2:13" s="257" customFormat="1" ht="15" customHeight="1" x14ac:dyDescent="0.2">
      <c r="B515" s="226" t="s">
        <v>1178</v>
      </c>
      <c r="C515" s="345">
        <v>40250</v>
      </c>
      <c r="D515" s="226" t="s">
        <v>515</v>
      </c>
      <c r="E515" s="576" t="s">
        <v>1205</v>
      </c>
      <c r="F515" s="226"/>
      <c r="G515" s="12" t="s">
        <v>89</v>
      </c>
      <c r="H515" s="1" t="s">
        <v>1234</v>
      </c>
      <c r="I515" s="2" t="s">
        <v>1100</v>
      </c>
      <c r="J515" s="3" t="s">
        <v>1092</v>
      </c>
      <c r="K515" s="9" t="s">
        <v>74</v>
      </c>
      <c r="L515" s="13">
        <v>9301000</v>
      </c>
      <c r="M515" s="256">
        <v>102831.86</v>
      </c>
    </row>
    <row r="516" spans="2:13" s="257" customFormat="1" ht="15" customHeight="1" x14ac:dyDescent="0.2">
      <c r="B516" s="226" t="s">
        <v>1173</v>
      </c>
      <c r="C516" s="345">
        <v>40360</v>
      </c>
      <c r="D516" s="226" t="s">
        <v>327</v>
      </c>
      <c r="E516" s="576" t="s">
        <v>1180</v>
      </c>
      <c r="F516" s="226"/>
      <c r="G516" s="12" t="s">
        <v>1182</v>
      </c>
      <c r="H516" s="346">
        <v>0.02</v>
      </c>
      <c r="I516" s="2" t="s">
        <v>909</v>
      </c>
      <c r="J516" s="3" t="s">
        <v>910</v>
      </c>
      <c r="K516" s="9" t="s">
        <v>790</v>
      </c>
      <c r="L516" s="13">
        <v>5000</v>
      </c>
      <c r="M516" s="256">
        <v>6113.5</v>
      </c>
    </row>
    <row r="517" spans="2:13" s="257" customFormat="1" ht="15" customHeight="1" x14ac:dyDescent="0.2">
      <c r="B517" s="226" t="s">
        <v>1179</v>
      </c>
      <c r="C517" s="345">
        <v>40507</v>
      </c>
      <c r="D517" s="226" t="s">
        <v>327</v>
      </c>
      <c r="E517" s="576" t="s">
        <v>1136</v>
      </c>
      <c r="F517" s="226"/>
      <c r="G517" s="12" t="s">
        <v>1183</v>
      </c>
      <c r="H517" s="346" t="s">
        <v>1235</v>
      </c>
      <c r="I517" s="9" t="s">
        <v>916</v>
      </c>
      <c r="J517" s="3" t="s">
        <v>965</v>
      </c>
      <c r="K517" s="9" t="s">
        <v>790</v>
      </c>
      <c r="L517" s="13">
        <v>45000</v>
      </c>
      <c r="M517" s="256">
        <v>59971.5</v>
      </c>
    </row>
    <row r="518" spans="2:13" s="257" customFormat="1" ht="30" customHeight="1" x14ac:dyDescent="0.2">
      <c r="B518" s="226" t="s">
        <v>1174</v>
      </c>
      <c r="C518" s="345">
        <v>40542</v>
      </c>
      <c r="D518" s="226" t="s">
        <v>327</v>
      </c>
      <c r="E518" s="576" t="s">
        <v>1861</v>
      </c>
      <c r="F518" s="226"/>
      <c r="G518" s="12" t="s">
        <v>1184</v>
      </c>
      <c r="H518" s="347">
        <v>0.02</v>
      </c>
      <c r="I518" s="9" t="s">
        <v>909</v>
      </c>
      <c r="J518" s="3" t="s">
        <v>910</v>
      </c>
      <c r="K518" s="9" t="s">
        <v>790</v>
      </c>
      <c r="L518" s="13">
        <v>5300</v>
      </c>
      <c r="M518" s="256">
        <v>6962.08</v>
      </c>
    </row>
    <row r="519" spans="2:13" s="257" customFormat="1" ht="15" customHeight="1" x14ac:dyDescent="0.2">
      <c r="B519" s="226" t="s">
        <v>1175</v>
      </c>
      <c r="C519" s="345">
        <v>40542</v>
      </c>
      <c r="D519" s="226" t="s">
        <v>327</v>
      </c>
      <c r="E519" s="576" t="s">
        <v>1797</v>
      </c>
      <c r="F519" s="226"/>
      <c r="G519" s="12" t="s">
        <v>1183</v>
      </c>
      <c r="H519" s="7" t="s">
        <v>1236</v>
      </c>
      <c r="I519" s="9" t="s">
        <v>916</v>
      </c>
      <c r="J519" s="3" t="s">
        <v>965</v>
      </c>
      <c r="K519" s="9" t="s">
        <v>790</v>
      </c>
      <c r="L519" s="13">
        <v>20000</v>
      </c>
      <c r="M519" s="256">
        <v>26272</v>
      </c>
    </row>
    <row r="520" spans="2:13" s="257" customFormat="1" ht="15" customHeight="1" x14ac:dyDescent="0.2">
      <c r="B520" s="226" t="s">
        <v>1176</v>
      </c>
      <c r="C520" s="345">
        <v>40542</v>
      </c>
      <c r="D520" s="226" t="s">
        <v>327</v>
      </c>
      <c r="E520" s="576" t="s">
        <v>1208</v>
      </c>
      <c r="F520" s="226"/>
      <c r="G520" s="12" t="s">
        <v>1183</v>
      </c>
      <c r="H520" s="7" t="s">
        <v>1236</v>
      </c>
      <c r="I520" s="9" t="s">
        <v>916</v>
      </c>
      <c r="J520" s="3" t="s">
        <v>965</v>
      </c>
      <c r="K520" s="9" t="s">
        <v>790</v>
      </c>
      <c r="L520" s="13">
        <v>21000</v>
      </c>
      <c r="M520" s="256">
        <v>27585.599999999999</v>
      </c>
    </row>
    <row r="521" spans="2:13" s="257" customFormat="1" ht="15" customHeight="1" x14ac:dyDescent="0.2">
      <c r="B521" s="226" t="s">
        <v>1177</v>
      </c>
      <c r="C521" s="345">
        <v>40542</v>
      </c>
      <c r="D521" s="226" t="s">
        <v>327</v>
      </c>
      <c r="E521" s="576" t="s">
        <v>1181</v>
      </c>
      <c r="F521" s="226"/>
      <c r="G521" s="12" t="s">
        <v>1183</v>
      </c>
      <c r="H521" s="7" t="s">
        <v>1236</v>
      </c>
      <c r="I521" s="9" t="s">
        <v>916</v>
      </c>
      <c r="J521" s="3" t="s">
        <v>965</v>
      </c>
      <c r="K521" s="9" t="s">
        <v>790</v>
      </c>
      <c r="L521" s="13">
        <v>35000</v>
      </c>
      <c r="M521" s="256">
        <v>45976</v>
      </c>
    </row>
    <row r="522" spans="2:13" s="257" customFormat="1" x14ac:dyDescent="0.2">
      <c r="B522" s="250"/>
      <c r="C522" s="336"/>
      <c r="D522" s="226"/>
      <c r="E522" s="571"/>
      <c r="F522" s="226"/>
      <c r="G522" s="226"/>
      <c r="H522" s="12"/>
      <c r="I522" s="9"/>
      <c r="J522" s="227"/>
      <c r="K522" s="275"/>
      <c r="L522" s="275"/>
      <c r="M522" s="256"/>
    </row>
    <row r="523" spans="2:13" s="257" customFormat="1" x14ac:dyDescent="0.2">
      <c r="B523" s="295" t="s">
        <v>555</v>
      </c>
      <c r="C523" s="336"/>
      <c r="D523" s="226"/>
      <c r="E523" s="571"/>
      <c r="F523" s="226"/>
      <c r="G523" s="226"/>
      <c r="H523" s="9"/>
      <c r="I523" s="9"/>
      <c r="J523" s="227"/>
      <c r="K523" s="275"/>
      <c r="L523" s="275"/>
      <c r="M523" s="296">
        <f>SUM(M524:M543)</f>
        <v>1060690.28</v>
      </c>
    </row>
    <row r="524" spans="2:13" s="257" customFormat="1" ht="15" customHeight="1" x14ac:dyDescent="0.2">
      <c r="B524" s="226" t="s">
        <v>1185</v>
      </c>
      <c r="C524" s="251">
        <v>40339</v>
      </c>
      <c r="D524" s="226" t="s">
        <v>1424</v>
      </c>
      <c r="E524" s="581" t="s">
        <v>1205</v>
      </c>
      <c r="F524" s="226"/>
      <c r="G524" s="9" t="s">
        <v>89</v>
      </c>
      <c r="H524" s="10" t="s">
        <v>1225</v>
      </c>
      <c r="I524" s="2" t="s">
        <v>530</v>
      </c>
      <c r="J524" s="3" t="s">
        <v>1102</v>
      </c>
      <c r="K524" s="9" t="s">
        <v>18</v>
      </c>
      <c r="L524" s="13">
        <v>77000</v>
      </c>
      <c r="M524" s="256">
        <v>77000</v>
      </c>
    </row>
    <row r="525" spans="2:13" s="257" customFormat="1" ht="30" customHeight="1" x14ac:dyDescent="0.2">
      <c r="B525" s="226" t="s">
        <v>1186</v>
      </c>
      <c r="C525" s="251">
        <v>40360</v>
      </c>
      <c r="D525" s="226" t="s">
        <v>1425</v>
      </c>
      <c r="E525" s="581" t="s">
        <v>1206</v>
      </c>
      <c r="F525" s="226"/>
      <c r="G525" s="9" t="s">
        <v>817</v>
      </c>
      <c r="H525" s="10" t="s">
        <v>1226</v>
      </c>
      <c r="I525" s="9" t="s">
        <v>530</v>
      </c>
      <c r="J525" s="3" t="s">
        <v>1227</v>
      </c>
      <c r="K525" s="9" t="s">
        <v>18</v>
      </c>
      <c r="L525" s="13">
        <v>5000</v>
      </c>
      <c r="M525" s="256">
        <v>5000</v>
      </c>
    </row>
    <row r="526" spans="2:13" s="257" customFormat="1" ht="30" customHeight="1" x14ac:dyDescent="0.2">
      <c r="B526" s="226" t="s">
        <v>1187</v>
      </c>
      <c r="C526" s="251">
        <v>40360</v>
      </c>
      <c r="D526" s="226" t="s">
        <v>1426</v>
      </c>
      <c r="E526" s="581" t="s">
        <v>1798</v>
      </c>
      <c r="F526" s="226"/>
      <c r="G526" s="9" t="s">
        <v>1223</v>
      </c>
      <c r="H526" s="12" t="s">
        <v>957</v>
      </c>
      <c r="I526" s="348" t="s">
        <v>1237</v>
      </c>
      <c r="J526" s="349" t="s">
        <v>1237</v>
      </c>
      <c r="K526" s="9" t="s">
        <v>133</v>
      </c>
      <c r="L526" s="13">
        <v>5200</v>
      </c>
      <c r="M526" s="256">
        <v>7690.28</v>
      </c>
    </row>
    <row r="527" spans="2:13" s="257" customFormat="1" ht="15" customHeight="1" x14ac:dyDescent="0.2">
      <c r="B527" s="226" t="s">
        <v>1188</v>
      </c>
      <c r="C527" s="251">
        <v>40402</v>
      </c>
      <c r="D527" s="226" t="s">
        <v>1427</v>
      </c>
      <c r="E527" s="581" t="s">
        <v>1207</v>
      </c>
      <c r="F527" s="226"/>
      <c r="G527" s="9" t="s">
        <v>1183</v>
      </c>
      <c r="H527" s="12" t="s">
        <v>1147</v>
      </c>
      <c r="I527" s="9" t="s">
        <v>1101</v>
      </c>
      <c r="J527" s="3" t="s">
        <v>1102</v>
      </c>
      <c r="K527" s="9" t="s">
        <v>18</v>
      </c>
      <c r="L527" s="13">
        <v>50000</v>
      </c>
      <c r="M527" s="256">
        <v>50000</v>
      </c>
    </row>
    <row r="528" spans="2:13" s="257" customFormat="1" ht="15" customHeight="1" x14ac:dyDescent="0.2">
      <c r="B528" s="226" t="s">
        <v>1189</v>
      </c>
      <c r="C528" s="251">
        <v>40416</v>
      </c>
      <c r="D528" s="226" t="s">
        <v>1428</v>
      </c>
      <c r="E528" s="581" t="s">
        <v>1208</v>
      </c>
      <c r="F528" s="226"/>
      <c r="G528" s="9" t="s">
        <v>1183</v>
      </c>
      <c r="H528" s="10" t="s">
        <v>1228</v>
      </c>
      <c r="I528" s="9" t="s">
        <v>998</v>
      </c>
      <c r="J528" s="338" t="s">
        <v>1238</v>
      </c>
      <c r="K528" s="9" t="s">
        <v>18</v>
      </c>
      <c r="L528" s="13">
        <v>75000</v>
      </c>
      <c r="M528" s="256">
        <v>75000</v>
      </c>
    </row>
    <row r="529" spans="2:13" s="257" customFormat="1" ht="15" customHeight="1" x14ac:dyDescent="0.2">
      <c r="B529" s="226" t="s">
        <v>1190</v>
      </c>
      <c r="C529" s="251">
        <v>40430</v>
      </c>
      <c r="D529" s="226" t="s">
        <v>1429</v>
      </c>
      <c r="E529" s="581" t="s">
        <v>1209</v>
      </c>
      <c r="F529" s="226"/>
      <c r="G529" s="9" t="s">
        <v>1183</v>
      </c>
      <c r="H529" s="10" t="s">
        <v>1228</v>
      </c>
      <c r="I529" s="9" t="s">
        <v>1097</v>
      </c>
      <c r="J529" s="338" t="s">
        <v>1239</v>
      </c>
      <c r="K529" s="9" t="s">
        <v>18</v>
      </c>
      <c r="L529" s="13">
        <v>100000</v>
      </c>
      <c r="M529" s="256">
        <v>100000</v>
      </c>
    </row>
    <row r="530" spans="2:13" s="257" customFormat="1" ht="15" customHeight="1" x14ac:dyDescent="0.2">
      <c r="B530" s="226" t="s">
        <v>1191</v>
      </c>
      <c r="C530" s="251">
        <v>40465</v>
      </c>
      <c r="D530" s="226" t="s">
        <v>1430</v>
      </c>
      <c r="E530" s="581" t="s">
        <v>1210</v>
      </c>
      <c r="F530" s="226"/>
      <c r="G530" s="9" t="s">
        <v>1183</v>
      </c>
      <c r="H530" s="10" t="s">
        <v>1226</v>
      </c>
      <c r="I530" s="9" t="s">
        <v>1101</v>
      </c>
      <c r="J530" s="3" t="s">
        <v>1102</v>
      </c>
      <c r="K530" s="9" t="s">
        <v>18</v>
      </c>
      <c r="L530" s="13">
        <v>25000</v>
      </c>
      <c r="M530" s="256">
        <v>25000</v>
      </c>
    </row>
    <row r="531" spans="2:13" s="257" customFormat="1" ht="15" customHeight="1" x14ac:dyDescent="0.2">
      <c r="B531" s="226" t="s">
        <v>1192</v>
      </c>
      <c r="C531" s="251">
        <v>40473</v>
      </c>
      <c r="D531" s="226" t="s">
        <v>1431</v>
      </c>
      <c r="E531" s="581" t="s">
        <v>1211</v>
      </c>
      <c r="F531" s="226"/>
      <c r="G531" s="9" t="s">
        <v>1183</v>
      </c>
      <c r="H531" s="10" t="s">
        <v>1226</v>
      </c>
      <c r="I531" s="9" t="s">
        <v>1101</v>
      </c>
      <c r="J531" s="3" t="s">
        <v>1102</v>
      </c>
      <c r="K531" s="9" t="s">
        <v>18</v>
      </c>
      <c r="L531" s="13">
        <v>25000</v>
      </c>
      <c r="M531" s="256">
        <v>25000</v>
      </c>
    </row>
    <row r="532" spans="2:13" s="257" customFormat="1" ht="15" customHeight="1" x14ac:dyDescent="0.2">
      <c r="B532" s="226" t="s">
        <v>1193</v>
      </c>
      <c r="C532" s="251">
        <v>40500</v>
      </c>
      <c r="D532" s="226" t="s">
        <v>1432</v>
      </c>
      <c r="E532" s="581" t="s">
        <v>1181</v>
      </c>
      <c r="F532" s="226"/>
      <c r="G532" s="9" t="s">
        <v>1183</v>
      </c>
      <c r="H532" s="10" t="s">
        <v>1226</v>
      </c>
      <c r="I532" s="9" t="s">
        <v>1101</v>
      </c>
      <c r="J532" s="3" t="s">
        <v>1102</v>
      </c>
      <c r="K532" s="9" t="s">
        <v>18</v>
      </c>
      <c r="L532" s="13">
        <v>50000</v>
      </c>
      <c r="M532" s="256">
        <v>50000</v>
      </c>
    </row>
    <row r="533" spans="2:13" s="257" customFormat="1" ht="15" customHeight="1" x14ac:dyDescent="0.2">
      <c r="B533" s="226" t="s">
        <v>1194</v>
      </c>
      <c r="C533" s="251">
        <v>40500</v>
      </c>
      <c r="D533" s="226" t="s">
        <v>1433</v>
      </c>
      <c r="E533" s="581" t="s">
        <v>1212</v>
      </c>
      <c r="F533" s="226"/>
      <c r="G533" s="9" t="s">
        <v>1183</v>
      </c>
      <c r="H533" s="10" t="s">
        <v>1226</v>
      </c>
      <c r="I533" s="9" t="s">
        <v>1101</v>
      </c>
      <c r="J533" s="3" t="s">
        <v>1102</v>
      </c>
      <c r="K533" s="9" t="s">
        <v>18</v>
      </c>
      <c r="L533" s="13">
        <v>25000</v>
      </c>
      <c r="M533" s="256">
        <v>25000</v>
      </c>
    </row>
    <row r="534" spans="2:13" s="257" customFormat="1" ht="30" customHeight="1" x14ac:dyDescent="0.2">
      <c r="B534" s="226" t="s">
        <v>1195</v>
      </c>
      <c r="C534" s="251">
        <v>40507</v>
      </c>
      <c r="D534" s="226" t="s">
        <v>1434</v>
      </c>
      <c r="E534" s="581" t="s">
        <v>1213</v>
      </c>
      <c r="F534" s="226"/>
      <c r="G534" s="9" t="s">
        <v>1023</v>
      </c>
      <c r="H534" s="350" t="s">
        <v>1656</v>
      </c>
      <c r="I534" s="9" t="s">
        <v>530</v>
      </c>
      <c r="J534" s="3" t="s">
        <v>1229</v>
      </c>
      <c r="K534" s="9" t="s">
        <v>18</v>
      </c>
      <c r="L534" s="13">
        <v>200000</v>
      </c>
      <c r="M534" s="256">
        <v>200000</v>
      </c>
    </row>
    <row r="535" spans="2:13" s="257" customFormat="1" ht="30" customHeight="1" x14ac:dyDescent="0.2">
      <c r="B535" s="226" t="s">
        <v>1196</v>
      </c>
      <c r="C535" s="251">
        <v>40507</v>
      </c>
      <c r="D535" s="226" t="s">
        <v>1435</v>
      </c>
      <c r="E535" s="581" t="s">
        <v>1214</v>
      </c>
      <c r="F535" s="226"/>
      <c r="G535" s="9" t="s">
        <v>817</v>
      </c>
      <c r="H535" s="10" t="s">
        <v>1226</v>
      </c>
      <c r="I535" s="9" t="s">
        <v>1101</v>
      </c>
      <c r="J535" s="3" t="s">
        <v>1230</v>
      </c>
      <c r="K535" s="9" t="s">
        <v>18</v>
      </c>
      <c r="L535" s="13">
        <v>20000</v>
      </c>
      <c r="M535" s="256">
        <v>20000</v>
      </c>
    </row>
    <row r="536" spans="2:13" s="257" customFormat="1" ht="30" customHeight="1" x14ac:dyDescent="0.2">
      <c r="B536" s="226" t="s">
        <v>1197</v>
      </c>
      <c r="C536" s="251">
        <v>40507</v>
      </c>
      <c r="D536" s="226" t="s">
        <v>1436</v>
      </c>
      <c r="E536" s="581" t="s">
        <v>1215</v>
      </c>
      <c r="F536" s="226"/>
      <c r="G536" s="9" t="s">
        <v>817</v>
      </c>
      <c r="H536" s="10" t="s">
        <v>1226</v>
      </c>
      <c r="I536" s="9" t="s">
        <v>530</v>
      </c>
      <c r="J536" s="3" t="s">
        <v>1231</v>
      </c>
      <c r="K536" s="9" t="s">
        <v>18</v>
      </c>
      <c r="L536" s="13">
        <v>6000</v>
      </c>
      <c r="M536" s="256">
        <v>6000</v>
      </c>
    </row>
    <row r="537" spans="2:13" s="257" customFormat="1" ht="15" customHeight="1" x14ac:dyDescent="0.2">
      <c r="B537" s="226" t="s">
        <v>1198</v>
      </c>
      <c r="C537" s="251">
        <v>40507</v>
      </c>
      <c r="D537" s="226" t="s">
        <v>1437</v>
      </c>
      <c r="E537" s="581" t="s">
        <v>1216</v>
      </c>
      <c r="F537" s="226"/>
      <c r="G537" s="9" t="s">
        <v>1183</v>
      </c>
      <c r="H537" s="10" t="s">
        <v>1226</v>
      </c>
      <c r="I537" s="9" t="s">
        <v>1101</v>
      </c>
      <c r="J537" s="3" t="s">
        <v>1102</v>
      </c>
      <c r="K537" s="9" t="s">
        <v>18</v>
      </c>
      <c r="L537" s="13">
        <v>100000</v>
      </c>
      <c r="M537" s="256">
        <v>100000</v>
      </c>
    </row>
    <row r="538" spans="2:13" s="257" customFormat="1" ht="15" customHeight="1" x14ac:dyDescent="0.2">
      <c r="B538" s="226" t="s">
        <v>1199</v>
      </c>
      <c r="C538" s="251">
        <v>40507</v>
      </c>
      <c r="D538" s="226" t="s">
        <v>1438</v>
      </c>
      <c r="E538" s="581" t="s">
        <v>1217</v>
      </c>
      <c r="F538" s="226"/>
      <c r="G538" s="9" t="s">
        <v>1183</v>
      </c>
      <c r="H538" s="10" t="s">
        <v>1226</v>
      </c>
      <c r="I538" s="9" t="s">
        <v>1101</v>
      </c>
      <c r="J538" s="3" t="s">
        <v>1102</v>
      </c>
      <c r="K538" s="9" t="s">
        <v>18</v>
      </c>
      <c r="L538" s="13">
        <v>25000</v>
      </c>
      <c r="M538" s="256">
        <v>25000</v>
      </c>
    </row>
    <row r="539" spans="2:13" s="257" customFormat="1" ht="15" customHeight="1" x14ac:dyDescent="0.2">
      <c r="B539" s="226" t="s">
        <v>1200</v>
      </c>
      <c r="C539" s="251">
        <v>40507</v>
      </c>
      <c r="D539" s="226" t="s">
        <v>1439</v>
      </c>
      <c r="E539" s="581" t="s">
        <v>1218</v>
      </c>
      <c r="F539" s="226"/>
      <c r="G539" s="9" t="s">
        <v>1183</v>
      </c>
      <c r="H539" s="10" t="s">
        <v>1228</v>
      </c>
      <c r="I539" s="9" t="s">
        <v>1097</v>
      </c>
      <c r="J539" s="338" t="s">
        <v>1240</v>
      </c>
      <c r="K539" s="9" t="s">
        <v>18</v>
      </c>
      <c r="L539" s="13">
        <v>50000</v>
      </c>
      <c r="M539" s="256">
        <v>50000</v>
      </c>
    </row>
    <row r="540" spans="2:13" s="257" customFormat="1" ht="15" customHeight="1" x14ac:dyDescent="0.2">
      <c r="B540" s="226" t="s">
        <v>1201</v>
      </c>
      <c r="C540" s="251">
        <v>40507</v>
      </c>
      <c r="D540" s="226" t="s">
        <v>1440</v>
      </c>
      <c r="E540" s="581" t="s">
        <v>1219</v>
      </c>
      <c r="F540" s="226"/>
      <c r="G540" s="9" t="s">
        <v>919</v>
      </c>
      <c r="H540" s="10" t="s">
        <v>1228</v>
      </c>
      <c r="I540" s="9" t="s">
        <v>1097</v>
      </c>
      <c r="J540" s="338" t="s">
        <v>1241</v>
      </c>
      <c r="K540" s="9" t="s">
        <v>18</v>
      </c>
      <c r="L540" s="13">
        <v>30000</v>
      </c>
      <c r="M540" s="256">
        <v>30000</v>
      </c>
    </row>
    <row r="541" spans="2:13" s="257" customFormat="1" ht="15" customHeight="1" x14ac:dyDescent="0.2">
      <c r="B541" s="226" t="s">
        <v>1202</v>
      </c>
      <c r="C541" s="251">
        <v>40514</v>
      </c>
      <c r="D541" s="226" t="s">
        <v>1441</v>
      </c>
      <c r="E541" s="581" t="s">
        <v>1220</v>
      </c>
      <c r="F541" s="226"/>
      <c r="G541" s="9" t="s">
        <v>381</v>
      </c>
      <c r="H541" s="10" t="s">
        <v>1228</v>
      </c>
      <c r="I541" s="9" t="s">
        <v>1037</v>
      </c>
      <c r="J541" s="338" t="s">
        <v>1242</v>
      </c>
      <c r="K541" s="9" t="s">
        <v>18</v>
      </c>
      <c r="L541" s="13">
        <v>20000</v>
      </c>
      <c r="M541" s="256">
        <v>20000</v>
      </c>
    </row>
    <row r="542" spans="2:13" s="257" customFormat="1" ht="15" customHeight="1" x14ac:dyDescent="0.2">
      <c r="B542" s="226" t="s">
        <v>1203</v>
      </c>
      <c r="C542" s="251">
        <v>40528</v>
      </c>
      <c r="D542" s="226" t="s">
        <v>1442</v>
      </c>
      <c r="E542" s="581" t="s">
        <v>1221</v>
      </c>
      <c r="F542" s="226"/>
      <c r="G542" s="9" t="s">
        <v>982</v>
      </c>
      <c r="H542" s="10" t="s">
        <v>1228</v>
      </c>
      <c r="I542" s="9" t="s">
        <v>1037</v>
      </c>
      <c r="J542" s="338" t="s">
        <v>1243</v>
      </c>
      <c r="K542" s="9" t="s">
        <v>18</v>
      </c>
      <c r="L542" s="13">
        <v>20000</v>
      </c>
      <c r="M542" s="256">
        <v>20000</v>
      </c>
    </row>
    <row r="543" spans="2:13" s="257" customFormat="1" ht="30" customHeight="1" x14ac:dyDescent="0.2">
      <c r="B543" s="226" t="s">
        <v>1204</v>
      </c>
      <c r="C543" s="251">
        <v>40542</v>
      </c>
      <c r="D543" s="226" t="s">
        <v>1443</v>
      </c>
      <c r="E543" s="581" t="s">
        <v>1222</v>
      </c>
      <c r="F543" s="226"/>
      <c r="G543" s="9" t="s">
        <v>1224</v>
      </c>
      <c r="H543" s="10" t="s">
        <v>1232</v>
      </c>
      <c r="I543" s="9" t="s">
        <v>916</v>
      </c>
      <c r="J543" s="3" t="s">
        <v>965</v>
      </c>
      <c r="K543" s="9" t="s">
        <v>18</v>
      </c>
      <c r="L543" s="13">
        <v>150000</v>
      </c>
      <c r="M543" s="256">
        <v>150000</v>
      </c>
    </row>
    <row r="544" spans="2:13" s="257" customFormat="1" ht="13.5" thickBot="1" x14ac:dyDescent="0.25">
      <c r="B544" s="351"/>
      <c r="C544" s="352"/>
      <c r="D544" s="221"/>
      <c r="E544" s="584"/>
      <c r="F544" s="221"/>
      <c r="G544" s="330"/>
      <c r="H544" s="222"/>
      <c r="I544" s="222"/>
      <c r="J544" s="330"/>
      <c r="K544" s="222"/>
      <c r="L544" s="332"/>
      <c r="M544" s="353"/>
    </row>
    <row r="545" spans="2:13" s="257" customFormat="1" ht="13.5" thickTop="1" x14ac:dyDescent="0.2">
      <c r="B545" s="501"/>
      <c r="C545" s="502"/>
      <c r="D545" s="224"/>
      <c r="E545" s="585"/>
      <c r="F545" s="224"/>
      <c r="G545" s="499"/>
      <c r="H545" s="225"/>
      <c r="I545" s="225"/>
      <c r="J545" s="499"/>
      <c r="K545" s="225"/>
      <c r="L545" s="355"/>
      <c r="M545" s="503"/>
    </row>
    <row r="546" spans="2:13" s="257" customFormat="1" ht="18" x14ac:dyDescent="0.2">
      <c r="B546" s="90">
        <v>2011</v>
      </c>
      <c r="C546" s="356"/>
      <c r="D546" s="217"/>
      <c r="E546" s="582"/>
      <c r="F546" s="217"/>
      <c r="G546" s="217"/>
      <c r="H546" s="219"/>
      <c r="I546" s="219"/>
      <c r="J546" s="219"/>
      <c r="K546" s="124"/>
      <c r="L546" s="344"/>
      <c r="M546" s="321">
        <f>+M548</f>
        <v>580500</v>
      </c>
    </row>
    <row r="547" spans="2:13" s="257" customFormat="1" x14ac:dyDescent="0.2">
      <c r="B547" s="124"/>
      <c r="C547" s="356"/>
      <c r="D547" s="217"/>
      <c r="E547" s="582"/>
      <c r="F547" s="217"/>
      <c r="G547" s="217"/>
      <c r="H547" s="219"/>
      <c r="I547" s="219"/>
      <c r="J547" s="219"/>
      <c r="K547" s="124"/>
      <c r="L547" s="344"/>
      <c r="M547" s="320"/>
    </row>
    <row r="548" spans="2:13" s="257" customFormat="1" x14ac:dyDescent="0.2">
      <c r="B548" s="295" t="s">
        <v>555</v>
      </c>
      <c r="C548" s="357"/>
      <c r="D548" s="226"/>
      <c r="E548" s="571"/>
      <c r="F548" s="226"/>
      <c r="G548" s="226"/>
      <c r="H548" s="9"/>
      <c r="I548" s="9"/>
      <c r="J548" s="9"/>
      <c r="K548" s="250"/>
      <c r="L548" s="254"/>
      <c r="M548" s="296">
        <f>SUM(M549:M558)</f>
        <v>580500</v>
      </c>
    </row>
    <row r="549" spans="2:13" s="257" customFormat="1" ht="30" customHeight="1" x14ac:dyDescent="0.2">
      <c r="B549" s="12" t="s">
        <v>1244</v>
      </c>
      <c r="C549" s="251">
        <v>40703</v>
      </c>
      <c r="D549" s="226" t="s">
        <v>1444</v>
      </c>
      <c r="E549" s="581" t="s">
        <v>1254</v>
      </c>
      <c r="F549" s="226"/>
      <c r="G549" s="226" t="s">
        <v>1261</v>
      </c>
      <c r="H549" s="8" t="s">
        <v>1267</v>
      </c>
      <c r="I549" s="9" t="s">
        <v>998</v>
      </c>
      <c r="J549" s="337" t="s">
        <v>1327</v>
      </c>
      <c r="K549" s="12" t="s">
        <v>18</v>
      </c>
      <c r="L549" s="13">
        <v>50000</v>
      </c>
      <c r="M549" s="5">
        <v>50000</v>
      </c>
    </row>
    <row r="550" spans="2:13" s="257" customFormat="1" ht="15" customHeight="1" x14ac:dyDescent="0.2">
      <c r="B550" s="12" t="s">
        <v>1245</v>
      </c>
      <c r="C550" s="251">
        <v>40710</v>
      </c>
      <c r="D550" s="226" t="s">
        <v>1445</v>
      </c>
      <c r="E550" s="581" t="s">
        <v>1255</v>
      </c>
      <c r="F550" s="226"/>
      <c r="G550" s="226" t="s">
        <v>1262</v>
      </c>
      <c r="H550" s="8" t="s">
        <v>1226</v>
      </c>
      <c r="I550" s="9" t="s">
        <v>1101</v>
      </c>
      <c r="J550" s="2" t="s">
        <v>1149</v>
      </c>
      <c r="K550" s="12" t="s">
        <v>18</v>
      </c>
      <c r="L550" s="13">
        <v>25000</v>
      </c>
      <c r="M550" s="5">
        <v>25000</v>
      </c>
    </row>
    <row r="551" spans="2:13" s="257" customFormat="1" ht="30" customHeight="1" x14ac:dyDescent="0.2">
      <c r="B551" s="12" t="s">
        <v>1246</v>
      </c>
      <c r="C551" s="251">
        <v>40710</v>
      </c>
      <c r="D551" s="226" t="s">
        <v>1446</v>
      </c>
      <c r="E551" s="581" t="s">
        <v>1799</v>
      </c>
      <c r="F551" s="226"/>
      <c r="G551" s="226" t="s">
        <v>1263</v>
      </c>
      <c r="H551" s="8" t="s">
        <v>1267</v>
      </c>
      <c r="I551" s="9" t="s">
        <v>998</v>
      </c>
      <c r="J551" s="337" t="s">
        <v>1328</v>
      </c>
      <c r="K551" s="12" t="s">
        <v>18</v>
      </c>
      <c r="L551" s="13">
        <v>25000</v>
      </c>
      <c r="M551" s="5">
        <v>25000</v>
      </c>
    </row>
    <row r="552" spans="2:13" s="257" customFormat="1" ht="30" customHeight="1" x14ac:dyDescent="0.2">
      <c r="B552" s="12" t="s">
        <v>1247</v>
      </c>
      <c r="C552" s="251">
        <v>40721</v>
      </c>
      <c r="D552" s="226" t="s">
        <v>1447</v>
      </c>
      <c r="E552" s="581" t="s">
        <v>1800</v>
      </c>
      <c r="F552" s="226"/>
      <c r="G552" s="226" t="s">
        <v>1264</v>
      </c>
      <c r="H552" s="9" t="s">
        <v>1657</v>
      </c>
      <c r="I552" s="9" t="s">
        <v>1001</v>
      </c>
      <c r="J552" s="9" t="s">
        <v>968</v>
      </c>
      <c r="K552" s="12" t="s">
        <v>18</v>
      </c>
      <c r="L552" s="13">
        <v>300000</v>
      </c>
      <c r="M552" s="5">
        <v>300000</v>
      </c>
    </row>
    <row r="553" spans="2:13" s="257" customFormat="1" ht="44.25" customHeight="1" x14ac:dyDescent="0.2">
      <c r="B553" s="12" t="s">
        <v>1248</v>
      </c>
      <c r="C553" s="251">
        <v>40731</v>
      </c>
      <c r="D553" s="226" t="s">
        <v>1448</v>
      </c>
      <c r="E553" s="581" t="s">
        <v>1801</v>
      </c>
      <c r="F553" s="226"/>
      <c r="G553" s="226" t="s">
        <v>89</v>
      </c>
      <c r="H553" s="8" t="s">
        <v>1267</v>
      </c>
      <c r="I553" s="9" t="s">
        <v>1268</v>
      </c>
      <c r="J553" s="9" t="s">
        <v>1269</v>
      </c>
      <c r="K553" s="12" t="s">
        <v>18</v>
      </c>
      <c r="L553" s="13">
        <v>54500</v>
      </c>
      <c r="M553" s="5">
        <v>54500</v>
      </c>
    </row>
    <row r="554" spans="2:13" s="257" customFormat="1" ht="15" customHeight="1" x14ac:dyDescent="0.2">
      <c r="B554" s="12" t="s">
        <v>1249</v>
      </c>
      <c r="C554" s="251">
        <v>40802</v>
      </c>
      <c r="D554" s="226" t="s">
        <v>1449</v>
      </c>
      <c r="E554" s="581" t="s">
        <v>1256</v>
      </c>
      <c r="F554" s="226"/>
      <c r="G554" s="226" t="s">
        <v>1265</v>
      </c>
      <c r="H554" s="8" t="s">
        <v>1226</v>
      </c>
      <c r="I554" s="9" t="s">
        <v>1101</v>
      </c>
      <c r="J554" s="2" t="s">
        <v>1149</v>
      </c>
      <c r="K554" s="12" t="s">
        <v>18</v>
      </c>
      <c r="L554" s="13">
        <v>25000</v>
      </c>
      <c r="M554" s="5">
        <v>25000</v>
      </c>
    </row>
    <row r="555" spans="2:13" s="257" customFormat="1" ht="15" customHeight="1" x14ac:dyDescent="0.2">
      <c r="B555" s="12" t="s">
        <v>1250</v>
      </c>
      <c r="C555" s="251">
        <v>40806</v>
      </c>
      <c r="D555" s="226" t="s">
        <v>1450</v>
      </c>
      <c r="E555" s="581" t="s">
        <v>1257</v>
      </c>
      <c r="F555" s="226"/>
      <c r="G555" s="226" t="s">
        <v>1265</v>
      </c>
      <c r="H555" s="8" t="s">
        <v>1226</v>
      </c>
      <c r="I555" s="9" t="s">
        <v>1101</v>
      </c>
      <c r="J555" s="2" t="s">
        <v>1149</v>
      </c>
      <c r="K555" s="12" t="s">
        <v>18</v>
      </c>
      <c r="L555" s="13">
        <v>25000</v>
      </c>
      <c r="M555" s="5">
        <v>25000</v>
      </c>
    </row>
    <row r="556" spans="2:13" s="257" customFormat="1" ht="15" customHeight="1" x14ac:dyDescent="0.2">
      <c r="B556" s="12" t="s">
        <v>1251</v>
      </c>
      <c r="C556" s="251">
        <v>40900</v>
      </c>
      <c r="D556" s="226" t="s">
        <v>1451</v>
      </c>
      <c r="E556" s="581" t="s">
        <v>1258</v>
      </c>
      <c r="F556" s="226"/>
      <c r="G556" s="226" t="s">
        <v>1265</v>
      </c>
      <c r="H556" s="8" t="s">
        <v>1226</v>
      </c>
      <c r="I556" s="9" t="s">
        <v>1101</v>
      </c>
      <c r="J556" s="2" t="s">
        <v>1149</v>
      </c>
      <c r="K556" s="12" t="s">
        <v>18</v>
      </c>
      <c r="L556" s="13">
        <v>25000</v>
      </c>
      <c r="M556" s="5">
        <v>25000</v>
      </c>
    </row>
    <row r="557" spans="2:13" s="257" customFormat="1" ht="15" customHeight="1" x14ac:dyDescent="0.2">
      <c r="B557" s="12" t="s">
        <v>1252</v>
      </c>
      <c r="C557" s="251">
        <v>40900</v>
      </c>
      <c r="D557" s="226" t="s">
        <v>1452</v>
      </c>
      <c r="E557" s="581" t="s">
        <v>1259</v>
      </c>
      <c r="F557" s="226"/>
      <c r="G557" s="226" t="s">
        <v>1265</v>
      </c>
      <c r="H557" s="8" t="s">
        <v>1226</v>
      </c>
      <c r="I557" s="9" t="s">
        <v>1101</v>
      </c>
      <c r="J557" s="2" t="s">
        <v>1149</v>
      </c>
      <c r="K557" s="12" t="s">
        <v>18</v>
      </c>
      <c r="L557" s="13">
        <v>25000</v>
      </c>
      <c r="M557" s="5">
        <v>25000</v>
      </c>
    </row>
    <row r="558" spans="2:13" s="257" customFormat="1" ht="30" customHeight="1" x14ac:dyDescent="0.2">
      <c r="B558" s="12" t="s">
        <v>1253</v>
      </c>
      <c r="C558" s="251">
        <v>41271</v>
      </c>
      <c r="D558" s="226" t="s">
        <v>1453</v>
      </c>
      <c r="E558" s="581" t="s">
        <v>1260</v>
      </c>
      <c r="F558" s="226"/>
      <c r="G558" s="226" t="s">
        <v>1266</v>
      </c>
      <c r="H558" s="8" t="s">
        <v>1226</v>
      </c>
      <c r="I558" s="9" t="s">
        <v>1101</v>
      </c>
      <c r="J558" s="2" t="s">
        <v>1270</v>
      </c>
      <c r="K558" s="12" t="s">
        <v>18</v>
      </c>
      <c r="L558" s="13">
        <v>26000</v>
      </c>
      <c r="M558" s="5">
        <v>26000</v>
      </c>
    </row>
    <row r="559" spans="2:13" s="257" customFormat="1" ht="13.5" thickBot="1" x14ac:dyDescent="0.25">
      <c r="B559" s="358"/>
      <c r="C559" s="352"/>
      <c r="D559" s="221"/>
      <c r="E559" s="584"/>
      <c r="F559" s="221"/>
      <c r="G559" s="221"/>
      <c r="H559" s="222"/>
      <c r="I559" s="222"/>
      <c r="J559" s="222"/>
      <c r="K559" s="331"/>
      <c r="L559" s="332"/>
      <c r="M559" s="353"/>
    </row>
    <row r="560" spans="2:13" s="257" customFormat="1" ht="13.5" thickTop="1" x14ac:dyDescent="0.2">
      <c r="B560" s="501"/>
      <c r="C560" s="502"/>
      <c r="D560" s="224"/>
      <c r="E560" s="585"/>
      <c r="F560" s="224"/>
      <c r="G560" s="224"/>
      <c r="H560" s="225"/>
      <c r="I560" s="225"/>
      <c r="J560" s="225"/>
      <c r="K560" s="504"/>
      <c r="L560" s="355"/>
      <c r="M560" s="503"/>
    </row>
    <row r="561" spans="2:13" s="257" customFormat="1" ht="18" x14ac:dyDescent="0.2">
      <c r="B561" s="381">
        <v>2012</v>
      </c>
      <c r="C561" s="356"/>
      <c r="D561" s="335"/>
      <c r="E561" s="582"/>
      <c r="F561" s="334"/>
      <c r="G561" s="217"/>
      <c r="H561" s="219"/>
      <c r="I561" s="219"/>
      <c r="J561" s="219"/>
      <c r="K561" s="124"/>
      <c r="L561" s="344"/>
      <c r="M561" s="321">
        <f>+M563+M566+M580</f>
        <v>1392317.9311419395</v>
      </c>
    </row>
    <row r="562" spans="2:13" s="257" customFormat="1" x14ac:dyDescent="0.2">
      <c r="B562" s="312"/>
      <c r="C562" s="356"/>
      <c r="D562" s="335"/>
      <c r="E562" s="582"/>
      <c r="F562" s="334"/>
      <c r="G562" s="217"/>
      <c r="H562" s="219"/>
      <c r="I562" s="219"/>
      <c r="J562" s="219"/>
      <c r="K562" s="124"/>
      <c r="L562" s="344"/>
      <c r="M562" s="320"/>
    </row>
    <row r="563" spans="2:13" s="257" customFormat="1" x14ac:dyDescent="0.2">
      <c r="B563" s="359" t="s">
        <v>786</v>
      </c>
      <c r="C563" s="357"/>
      <c r="D563" s="436"/>
      <c r="E563" s="571"/>
      <c r="F563" s="227"/>
      <c r="G563" s="226"/>
      <c r="H563" s="9"/>
      <c r="I563" s="9"/>
      <c r="J563" s="9"/>
      <c r="K563" s="124"/>
      <c r="L563" s="344"/>
      <c r="M563" s="296">
        <f>+M564</f>
        <v>500000</v>
      </c>
    </row>
    <row r="564" spans="2:13" s="257" customFormat="1" ht="15" customHeight="1" x14ac:dyDescent="0.2">
      <c r="B564" s="226" t="s">
        <v>1658</v>
      </c>
      <c r="C564" s="251">
        <v>40932</v>
      </c>
      <c r="D564" s="436" t="s">
        <v>1272</v>
      </c>
      <c r="E564" s="581" t="s">
        <v>1273</v>
      </c>
      <c r="F564" s="437"/>
      <c r="G564" s="226" t="s">
        <v>13</v>
      </c>
      <c r="H564" s="434">
        <v>5.625</v>
      </c>
      <c r="I564" s="361" t="s">
        <v>623</v>
      </c>
      <c r="J564" s="337" t="s">
        <v>1329</v>
      </c>
      <c r="K564" s="339" t="s">
        <v>18</v>
      </c>
      <c r="L564" s="342">
        <v>500000</v>
      </c>
      <c r="M564" s="343">
        <f>+L564</f>
        <v>500000</v>
      </c>
    </row>
    <row r="565" spans="2:13" s="257" customFormat="1" x14ac:dyDescent="0.2">
      <c r="B565" s="436"/>
      <c r="C565" s="251"/>
      <c r="D565" s="437"/>
      <c r="E565" s="581"/>
      <c r="F565" s="437"/>
      <c r="G565" s="226"/>
      <c r="H565" s="360"/>
      <c r="I565" s="361"/>
      <c r="J565" s="362"/>
      <c r="K565" s="339"/>
      <c r="L565" s="342"/>
      <c r="M565" s="343"/>
    </row>
    <row r="566" spans="2:13" s="257" customFormat="1" x14ac:dyDescent="0.2">
      <c r="B566" s="322" t="s">
        <v>701</v>
      </c>
      <c r="C566" s="251"/>
      <c r="D566" s="437"/>
      <c r="E566" s="581"/>
      <c r="F566" s="437"/>
      <c r="G566" s="226"/>
      <c r="H566" s="434"/>
      <c r="I566" s="437"/>
      <c r="J566" s="2"/>
      <c r="K566" s="339"/>
      <c r="L566" s="342"/>
      <c r="M566" s="296">
        <f>SUM(M567:M577)</f>
        <v>462384.33514193929</v>
      </c>
    </row>
    <row r="567" spans="2:13" s="257" customFormat="1" ht="15" customHeight="1" x14ac:dyDescent="0.2">
      <c r="B567" s="436" t="s">
        <v>1305</v>
      </c>
      <c r="C567" s="251">
        <v>40991</v>
      </c>
      <c r="D567" s="437" t="s">
        <v>515</v>
      </c>
      <c r="E567" s="581" t="s">
        <v>1316</v>
      </c>
      <c r="F567" s="437"/>
      <c r="G567" s="226" t="s">
        <v>1659</v>
      </c>
      <c r="H567" s="364" t="s">
        <v>1330</v>
      </c>
      <c r="I567" s="2" t="s">
        <v>1100</v>
      </c>
      <c r="J567" s="366" t="s">
        <v>1092</v>
      </c>
      <c r="K567" s="339" t="s">
        <v>74</v>
      </c>
      <c r="L567" s="342">
        <v>3210000</v>
      </c>
      <c r="M567" s="343">
        <f>38889150/1000</f>
        <v>38889.15</v>
      </c>
    </row>
    <row r="568" spans="2:13" s="257" customFormat="1" ht="15" customHeight="1" x14ac:dyDescent="0.2">
      <c r="B568" s="436" t="s">
        <v>1306</v>
      </c>
      <c r="C568" s="251">
        <v>40997</v>
      </c>
      <c r="D568" s="437" t="s">
        <v>515</v>
      </c>
      <c r="E568" s="581" t="s">
        <v>1317</v>
      </c>
      <c r="F568" s="437"/>
      <c r="G568" s="226" t="s">
        <v>1302</v>
      </c>
      <c r="H568" s="364" t="s">
        <v>1330</v>
      </c>
      <c r="I568" s="2" t="s">
        <v>1100</v>
      </c>
      <c r="J568" s="366" t="s">
        <v>1092</v>
      </c>
      <c r="K568" s="339" t="s">
        <v>74</v>
      </c>
      <c r="L568" s="342">
        <v>4406000</v>
      </c>
      <c r="M568" s="343">
        <f>53457998/1000</f>
        <v>53457.998</v>
      </c>
    </row>
    <row r="569" spans="2:13" s="257" customFormat="1" ht="45" customHeight="1" x14ac:dyDescent="0.2">
      <c r="B569" s="436" t="s">
        <v>1307</v>
      </c>
      <c r="C569" s="251">
        <v>41146</v>
      </c>
      <c r="D569" s="437" t="s">
        <v>515</v>
      </c>
      <c r="E569" s="581" t="s">
        <v>1802</v>
      </c>
      <c r="F569" s="437"/>
      <c r="G569" s="226" t="s">
        <v>1281</v>
      </c>
      <c r="H569" s="364" t="s">
        <v>1331</v>
      </c>
      <c r="I569" s="2" t="s">
        <v>916</v>
      </c>
      <c r="J569" s="366" t="s">
        <v>909</v>
      </c>
      <c r="K569" s="339" t="s">
        <v>74</v>
      </c>
      <c r="L569" s="342">
        <v>4396000</v>
      </c>
      <c r="M569" s="343">
        <f>57178270.847208/1000</f>
        <v>57178.270847207998</v>
      </c>
    </row>
    <row r="570" spans="2:13" s="257" customFormat="1" ht="15" customHeight="1" x14ac:dyDescent="0.2">
      <c r="B570" s="436" t="s">
        <v>1308</v>
      </c>
      <c r="C570" s="251">
        <v>41192</v>
      </c>
      <c r="D570" s="437" t="s">
        <v>515</v>
      </c>
      <c r="E570" s="581" t="s">
        <v>1318</v>
      </c>
      <c r="F570" s="437"/>
      <c r="G570" s="226" t="s">
        <v>69</v>
      </c>
      <c r="H570" s="364" t="s">
        <v>1332</v>
      </c>
      <c r="I570" s="2" t="s">
        <v>916</v>
      </c>
      <c r="J570" s="366" t="s">
        <v>909</v>
      </c>
      <c r="K570" s="339" t="s">
        <v>74</v>
      </c>
      <c r="L570" s="342">
        <v>8770000</v>
      </c>
      <c r="M570" s="343">
        <f>118742746.61926/1000</f>
        <v>118742.74661926</v>
      </c>
    </row>
    <row r="571" spans="2:13" s="257" customFormat="1" ht="45" customHeight="1" x14ac:dyDescent="0.2">
      <c r="B571" s="436" t="s">
        <v>1309</v>
      </c>
      <c r="C571" s="251">
        <v>41250</v>
      </c>
      <c r="D571" s="437" t="s">
        <v>515</v>
      </c>
      <c r="E571" s="581" t="s">
        <v>1319</v>
      </c>
      <c r="F571" s="437"/>
      <c r="G571" s="226" t="s">
        <v>89</v>
      </c>
      <c r="H571" s="364" t="s">
        <v>1330</v>
      </c>
      <c r="I571" s="2" t="s">
        <v>1100</v>
      </c>
      <c r="J571" s="366" t="s">
        <v>1092</v>
      </c>
      <c r="K571" s="339" t="s">
        <v>74</v>
      </c>
      <c r="L571" s="342">
        <v>5078000</v>
      </c>
      <c r="M571" s="343">
        <f>70883288.096244/1000</f>
        <v>70883.28809624401</v>
      </c>
    </row>
    <row r="572" spans="2:13" s="257" customFormat="1" ht="15" customHeight="1" x14ac:dyDescent="0.2">
      <c r="B572" s="436" t="s">
        <v>1310</v>
      </c>
      <c r="C572" s="251">
        <v>41252</v>
      </c>
      <c r="D572" s="437" t="s">
        <v>327</v>
      </c>
      <c r="E572" s="581" t="s">
        <v>1320</v>
      </c>
      <c r="F572" s="437"/>
      <c r="G572" s="226" t="s">
        <v>1324</v>
      </c>
      <c r="H572" s="364" t="s">
        <v>1333</v>
      </c>
      <c r="I572" s="2" t="s">
        <v>909</v>
      </c>
      <c r="J572" s="337" t="s">
        <v>1336</v>
      </c>
      <c r="K572" s="339" t="s">
        <v>790</v>
      </c>
      <c r="L572" s="342">
        <v>7449.7661900000003</v>
      </c>
      <c r="M572" s="343">
        <f>9816332.69230185/1000</f>
        <v>9816.3326923018503</v>
      </c>
    </row>
    <row r="573" spans="2:13" s="257" customFormat="1" ht="15" customHeight="1" x14ac:dyDescent="0.2">
      <c r="B573" s="436" t="s">
        <v>1311</v>
      </c>
      <c r="C573" s="251">
        <v>41256</v>
      </c>
      <c r="D573" s="437" t="s">
        <v>327</v>
      </c>
      <c r="E573" s="581" t="s">
        <v>1803</v>
      </c>
      <c r="F573" s="437"/>
      <c r="G573" s="226" t="s">
        <v>1342</v>
      </c>
      <c r="H573" s="365">
        <v>0.02</v>
      </c>
      <c r="I573" s="2" t="s">
        <v>909</v>
      </c>
      <c r="J573" s="366" t="s">
        <v>910</v>
      </c>
      <c r="K573" s="339" t="s">
        <v>790</v>
      </c>
      <c r="L573" s="342">
        <v>6000</v>
      </c>
      <c r="M573" s="343">
        <f>7982101.167318/1000</f>
        <v>7982.1011673180001</v>
      </c>
    </row>
    <row r="574" spans="2:13" s="257" customFormat="1" ht="15" customHeight="1" x14ac:dyDescent="0.2">
      <c r="B574" s="436" t="s">
        <v>1312</v>
      </c>
      <c r="C574" s="251">
        <v>41263</v>
      </c>
      <c r="D574" s="437" t="s">
        <v>327</v>
      </c>
      <c r="E574" s="581" t="s">
        <v>1321</v>
      </c>
      <c r="F574" s="437"/>
      <c r="G574" s="226" t="s">
        <v>1265</v>
      </c>
      <c r="H574" s="434" t="s">
        <v>1326</v>
      </c>
      <c r="I574" s="2" t="s">
        <v>916</v>
      </c>
      <c r="J574" s="366" t="s">
        <v>965</v>
      </c>
      <c r="K574" s="339" t="s">
        <v>790</v>
      </c>
      <c r="L574" s="342">
        <v>15000</v>
      </c>
      <c r="M574" s="343">
        <f>20054602.184085/1000</f>
        <v>20054.602184085001</v>
      </c>
    </row>
    <row r="575" spans="2:13" s="257" customFormat="1" ht="15" customHeight="1" x14ac:dyDescent="0.2">
      <c r="B575" s="436" t="s">
        <v>1313</v>
      </c>
      <c r="C575" s="251">
        <v>41265</v>
      </c>
      <c r="D575" s="437" t="s">
        <v>719</v>
      </c>
      <c r="E575" s="581" t="s">
        <v>1322</v>
      </c>
      <c r="F575" s="437"/>
      <c r="G575" s="226" t="s">
        <v>69</v>
      </c>
      <c r="H575" s="434" t="s">
        <v>1326</v>
      </c>
      <c r="I575" s="2" t="s">
        <v>1001</v>
      </c>
      <c r="J575" s="366" t="s">
        <v>1094</v>
      </c>
      <c r="K575" s="339" t="s">
        <v>790</v>
      </c>
      <c r="L575" s="342">
        <v>25000</v>
      </c>
      <c r="M575" s="343">
        <f>33385335.413425/1000</f>
        <v>33385.335413424997</v>
      </c>
    </row>
    <row r="576" spans="2:13" s="257" customFormat="1" ht="15" customHeight="1" x14ac:dyDescent="0.2">
      <c r="B576" s="436" t="s">
        <v>1314</v>
      </c>
      <c r="C576" s="251">
        <v>41265</v>
      </c>
      <c r="D576" s="437" t="s">
        <v>327</v>
      </c>
      <c r="E576" s="581" t="s">
        <v>1323</v>
      </c>
      <c r="F576" s="437"/>
      <c r="G576" s="226" t="s">
        <v>69</v>
      </c>
      <c r="H576" s="434" t="s">
        <v>1326</v>
      </c>
      <c r="I576" s="2" t="s">
        <v>916</v>
      </c>
      <c r="J576" s="366" t="s">
        <v>909</v>
      </c>
      <c r="K576" s="339" t="s">
        <v>790</v>
      </c>
      <c r="L576" s="342">
        <v>12500</v>
      </c>
      <c r="M576" s="343">
        <f>16692667.7067125/1000</f>
        <v>16692.667706712498</v>
      </c>
    </row>
    <row r="577" spans="2:13" s="257" customFormat="1" ht="30" customHeight="1" x14ac:dyDescent="0.2">
      <c r="B577" s="436" t="s">
        <v>1315</v>
      </c>
      <c r="C577" s="251">
        <v>41273</v>
      </c>
      <c r="D577" s="437" t="s">
        <v>515</v>
      </c>
      <c r="E577" s="581" t="s">
        <v>1804</v>
      </c>
      <c r="F577" s="437"/>
      <c r="G577" s="226" t="s">
        <v>1325</v>
      </c>
      <c r="H577" s="364" t="s">
        <v>1338</v>
      </c>
      <c r="I577" s="2" t="s">
        <v>968</v>
      </c>
      <c r="J577" s="366" t="s">
        <v>1033</v>
      </c>
      <c r="K577" s="339" t="s">
        <v>74</v>
      </c>
      <c r="L577" s="342">
        <v>2905000</v>
      </c>
      <c r="M577" s="343">
        <f>35301842.415385/1000</f>
        <v>35301.842415384999</v>
      </c>
    </row>
    <row r="578" spans="2:13" s="257" customFormat="1" x14ac:dyDescent="0.2">
      <c r="B578" s="322"/>
      <c r="C578" s="251"/>
      <c r="D578" s="437"/>
      <c r="E578" s="581"/>
      <c r="F578" s="437"/>
      <c r="G578" s="226"/>
      <c r="H578" s="434"/>
      <c r="I578" s="437"/>
      <c r="J578" s="2"/>
      <c r="K578" s="339"/>
      <c r="L578" s="342"/>
      <c r="M578" s="343"/>
    </row>
    <row r="579" spans="2:13" s="257" customFormat="1" x14ac:dyDescent="0.2">
      <c r="B579" s="322"/>
      <c r="C579" s="251"/>
      <c r="D579" s="437"/>
      <c r="E579" s="581"/>
      <c r="F579" s="437"/>
      <c r="G579" s="226"/>
      <c r="H579" s="434"/>
      <c r="I579" s="437"/>
      <c r="J579" s="2"/>
      <c r="K579" s="339"/>
      <c r="L579" s="342"/>
      <c r="M579" s="343"/>
    </row>
    <row r="580" spans="2:13" s="257" customFormat="1" x14ac:dyDescent="0.2">
      <c r="B580" s="295" t="s">
        <v>555</v>
      </c>
      <c r="C580" s="251"/>
      <c r="D580" s="437"/>
      <c r="E580" s="581"/>
      <c r="F580" s="437"/>
      <c r="G580" s="226"/>
      <c r="H580" s="434"/>
      <c r="I580" s="437"/>
      <c r="J580" s="2"/>
      <c r="K580" s="339"/>
      <c r="L580" s="342"/>
      <c r="M580" s="296">
        <f>SUM(M581:M593)</f>
        <v>429933.59600000002</v>
      </c>
    </row>
    <row r="581" spans="2:13" s="257" customFormat="1" ht="15" customHeight="1" x14ac:dyDescent="0.2">
      <c r="B581" s="436" t="s">
        <v>1274</v>
      </c>
      <c r="C581" s="251">
        <v>41132</v>
      </c>
      <c r="D581" s="437" t="s">
        <v>1454</v>
      </c>
      <c r="E581" s="581" t="s">
        <v>1279</v>
      </c>
      <c r="F581" s="437"/>
      <c r="G581" s="226" t="s">
        <v>1342</v>
      </c>
      <c r="H581" s="434" t="s">
        <v>1226</v>
      </c>
      <c r="I581" s="437" t="s">
        <v>968</v>
      </c>
      <c r="J581" s="2" t="s">
        <v>1096</v>
      </c>
      <c r="K581" s="339" t="s">
        <v>18</v>
      </c>
      <c r="L581" s="342">
        <v>25000</v>
      </c>
      <c r="M581" s="343">
        <v>25000</v>
      </c>
    </row>
    <row r="582" spans="2:13" s="257" customFormat="1" ht="45" customHeight="1" x14ac:dyDescent="0.2">
      <c r="B582" s="436" t="s">
        <v>1275</v>
      </c>
      <c r="C582" s="251">
        <v>41132</v>
      </c>
      <c r="D582" s="437" t="s">
        <v>1455</v>
      </c>
      <c r="E582" s="581" t="s">
        <v>1805</v>
      </c>
      <c r="F582" s="437"/>
      <c r="G582" s="226" t="s">
        <v>1281</v>
      </c>
      <c r="H582" s="434" t="s">
        <v>1226</v>
      </c>
      <c r="I582" s="437" t="s">
        <v>1229</v>
      </c>
      <c r="J582" s="337" t="s">
        <v>1339</v>
      </c>
      <c r="K582" s="339" t="s">
        <v>18</v>
      </c>
      <c r="L582" s="342">
        <v>15000</v>
      </c>
      <c r="M582" s="343">
        <v>15000</v>
      </c>
    </row>
    <row r="583" spans="2:13" s="257" customFormat="1" ht="45" customHeight="1" x14ac:dyDescent="0.2">
      <c r="B583" s="436" t="s">
        <v>1276</v>
      </c>
      <c r="C583" s="251">
        <v>41133</v>
      </c>
      <c r="D583" s="437" t="s">
        <v>1456</v>
      </c>
      <c r="E583" s="581" t="s">
        <v>1280</v>
      </c>
      <c r="F583" s="437"/>
      <c r="G583" s="226" t="s">
        <v>89</v>
      </c>
      <c r="H583" s="434" t="s">
        <v>1226</v>
      </c>
      <c r="I583" s="437" t="s">
        <v>1101</v>
      </c>
      <c r="J583" s="2" t="s">
        <v>1230</v>
      </c>
      <c r="K583" s="339" t="s">
        <v>18</v>
      </c>
      <c r="L583" s="342">
        <v>100000</v>
      </c>
      <c r="M583" s="343">
        <v>100000</v>
      </c>
    </row>
    <row r="584" spans="2:13" s="257" customFormat="1" ht="15" customHeight="1" x14ac:dyDescent="0.2">
      <c r="B584" s="436" t="s">
        <v>1277</v>
      </c>
      <c r="C584" s="251">
        <v>41146</v>
      </c>
      <c r="D584" s="437" t="s">
        <v>1457</v>
      </c>
      <c r="E584" s="581" t="s">
        <v>1807</v>
      </c>
      <c r="F584" s="437"/>
      <c r="G584" s="226" t="s">
        <v>1282</v>
      </c>
      <c r="H584" s="434" t="s">
        <v>1226</v>
      </c>
      <c r="I584" s="437" t="s">
        <v>916</v>
      </c>
      <c r="J584" s="2" t="s">
        <v>910</v>
      </c>
      <c r="K584" s="339" t="s">
        <v>18</v>
      </c>
      <c r="L584" s="342">
        <v>20000</v>
      </c>
      <c r="M584" s="343">
        <v>20000</v>
      </c>
    </row>
    <row r="585" spans="2:13" s="257" customFormat="1" ht="15" customHeight="1" x14ac:dyDescent="0.2">
      <c r="B585" s="436" t="s">
        <v>1278</v>
      </c>
      <c r="C585" s="251">
        <v>41146</v>
      </c>
      <c r="D585" s="437" t="s">
        <v>1458</v>
      </c>
      <c r="E585" s="581" t="s">
        <v>1806</v>
      </c>
      <c r="F585" s="437"/>
      <c r="G585" s="226" t="s">
        <v>1283</v>
      </c>
      <c r="H585" s="434" t="s">
        <v>1226</v>
      </c>
      <c r="I585" s="437" t="s">
        <v>532</v>
      </c>
      <c r="J585" s="2" t="s">
        <v>998</v>
      </c>
      <c r="K585" s="339" t="s">
        <v>18</v>
      </c>
      <c r="L585" s="342">
        <v>35000</v>
      </c>
      <c r="M585" s="343">
        <v>35000</v>
      </c>
    </row>
    <row r="586" spans="2:13" s="257" customFormat="1" ht="15" customHeight="1" x14ac:dyDescent="0.2">
      <c r="B586" s="436" t="s">
        <v>1284</v>
      </c>
      <c r="C586" s="251">
        <v>41207</v>
      </c>
      <c r="D586" s="437" t="s">
        <v>1459</v>
      </c>
      <c r="E586" s="581" t="s">
        <v>1287</v>
      </c>
      <c r="F586" s="437"/>
      <c r="G586" s="226" t="s">
        <v>1265</v>
      </c>
      <c r="H586" s="434" t="s">
        <v>1226</v>
      </c>
      <c r="I586" s="437" t="s">
        <v>1229</v>
      </c>
      <c r="J586" s="337" t="s">
        <v>1339</v>
      </c>
      <c r="K586" s="339" t="s">
        <v>18</v>
      </c>
      <c r="L586" s="342">
        <v>30000</v>
      </c>
      <c r="M586" s="343">
        <v>30000</v>
      </c>
    </row>
    <row r="587" spans="2:13" s="257" customFormat="1" ht="15" customHeight="1" x14ac:dyDescent="0.2">
      <c r="B587" s="436" t="s">
        <v>1285</v>
      </c>
      <c r="C587" s="251">
        <v>41235</v>
      </c>
      <c r="D587" s="437" t="s">
        <v>97</v>
      </c>
      <c r="E587" s="581" t="s">
        <v>1288</v>
      </c>
      <c r="F587" s="437"/>
      <c r="G587" s="226" t="s">
        <v>1290</v>
      </c>
      <c r="H587" s="434" t="s">
        <v>1292</v>
      </c>
      <c r="I587" s="437" t="s">
        <v>971</v>
      </c>
      <c r="J587" s="2" t="s">
        <v>971</v>
      </c>
      <c r="K587" s="339" t="s">
        <v>18</v>
      </c>
      <c r="L587" s="342">
        <v>20000</v>
      </c>
      <c r="M587" s="343">
        <v>20000</v>
      </c>
    </row>
    <row r="588" spans="2:13" s="257" customFormat="1" ht="15" customHeight="1" x14ac:dyDescent="0.2">
      <c r="B588" s="436" t="s">
        <v>1286</v>
      </c>
      <c r="C588" s="251">
        <v>41250</v>
      </c>
      <c r="D588" s="437" t="s">
        <v>1460</v>
      </c>
      <c r="E588" s="581" t="s">
        <v>1289</v>
      </c>
      <c r="F588" s="437"/>
      <c r="G588" s="226" t="s">
        <v>1291</v>
      </c>
      <c r="H588" s="434" t="s">
        <v>1226</v>
      </c>
      <c r="I588" s="437" t="s">
        <v>997</v>
      </c>
      <c r="J588" s="337" t="s">
        <v>1340</v>
      </c>
      <c r="K588" s="339" t="s">
        <v>18</v>
      </c>
      <c r="L588" s="342">
        <v>70000</v>
      </c>
      <c r="M588" s="343">
        <v>70000</v>
      </c>
    </row>
    <row r="589" spans="2:13" s="257" customFormat="1" ht="15" customHeight="1" x14ac:dyDescent="0.2">
      <c r="B589" s="436" t="s">
        <v>1293</v>
      </c>
      <c r="C589" s="251">
        <v>41256</v>
      </c>
      <c r="D589" s="437" t="s">
        <v>1461</v>
      </c>
      <c r="E589" s="581" t="s">
        <v>1298</v>
      </c>
      <c r="F589" s="437"/>
      <c r="G589" s="226" t="s">
        <v>1265</v>
      </c>
      <c r="H589" s="434" t="s">
        <v>1226</v>
      </c>
      <c r="I589" s="437" t="s">
        <v>916</v>
      </c>
      <c r="J589" s="2" t="s">
        <v>1001</v>
      </c>
      <c r="K589" s="339" t="s">
        <v>18</v>
      </c>
      <c r="L589" s="342">
        <v>30000</v>
      </c>
      <c r="M589" s="343">
        <v>30000</v>
      </c>
    </row>
    <row r="590" spans="2:13" s="257" customFormat="1" ht="15" customHeight="1" x14ac:dyDescent="0.2">
      <c r="B590" s="436" t="s">
        <v>1294</v>
      </c>
      <c r="C590" s="251">
        <v>41256</v>
      </c>
      <c r="D590" s="437" t="s">
        <v>1462</v>
      </c>
      <c r="E590" s="581" t="s">
        <v>1299</v>
      </c>
      <c r="F590" s="437"/>
      <c r="G590" s="226" t="s">
        <v>1265</v>
      </c>
      <c r="H590" s="434" t="s">
        <v>1226</v>
      </c>
      <c r="I590" s="437" t="s">
        <v>916</v>
      </c>
      <c r="J590" s="2" t="s">
        <v>1001</v>
      </c>
      <c r="K590" s="339" t="s">
        <v>18</v>
      </c>
      <c r="L590" s="342">
        <v>30000</v>
      </c>
      <c r="M590" s="343">
        <v>30000</v>
      </c>
    </row>
    <row r="591" spans="2:13" s="257" customFormat="1" ht="15" customHeight="1" x14ac:dyDescent="0.2">
      <c r="B591" s="436" t="s">
        <v>1295</v>
      </c>
      <c r="C591" s="251">
        <v>41263</v>
      </c>
      <c r="D591" s="437" t="s">
        <v>1463</v>
      </c>
      <c r="E591" s="581" t="s">
        <v>1300</v>
      </c>
      <c r="F591" s="437"/>
      <c r="G591" s="226" t="s">
        <v>1343</v>
      </c>
      <c r="H591" s="434" t="s">
        <v>1304</v>
      </c>
      <c r="I591" s="2" t="s">
        <v>1092</v>
      </c>
      <c r="J591" s="2" t="s">
        <v>1092</v>
      </c>
      <c r="K591" s="339" t="s">
        <v>18</v>
      </c>
      <c r="L591" s="342">
        <v>25000</v>
      </c>
      <c r="M591" s="343">
        <v>25000</v>
      </c>
    </row>
    <row r="592" spans="2:13" s="257" customFormat="1" ht="15" customHeight="1" x14ac:dyDescent="0.2">
      <c r="B592" s="226" t="s">
        <v>1296</v>
      </c>
      <c r="C592" s="251">
        <v>41265</v>
      </c>
      <c r="D592" s="436" t="s">
        <v>1464</v>
      </c>
      <c r="E592" s="581" t="s">
        <v>1808</v>
      </c>
      <c r="F592" s="437"/>
      <c r="G592" s="226" t="s">
        <v>1302</v>
      </c>
      <c r="H592" s="434" t="s">
        <v>957</v>
      </c>
      <c r="I592" s="337" t="s">
        <v>1341</v>
      </c>
      <c r="J592" s="368" t="s">
        <v>965</v>
      </c>
      <c r="K592" s="339" t="s">
        <v>133</v>
      </c>
      <c r="L592" s="342">
        <v>12900</v>
      </c>
      <c r="M592" s="343">
        <f>19933596/1000</f>
        <v>19933.596000000001</v>
      </c>
    </row>
    <row r="593" spans="2:13" s="257" customFormat="1" ht="15" customHeight="1" x14ac:dyDescent="0.2">
      <c r="B593" s="226" t="s">
        <v>1297</v>
      </c>
      <c r="C593" s="251">
        <v>41265</v>
      </c>
      <c r="D593" s="226" t="s">
        <v>1465</v>
      </c>
      <c r="E593" s="576" t="s">
        <v>1301</v>
      </c>
      <c r="F593" s="226"/>
      <c r="G593" s="226" t="s">
        <v>1303</v>
      </c>
      <c r="H593" s="434" t="s">
        <v>1304</v>
      </c>
      <c r="I593" s="2" t="s">
        <v>916</v>
      </c>
      <c r="J593" s="2" t="s">
        <v>1001</v>
      </c>
      <c r="K593" s="339" t="s">
        <v>18</v>
      </c>
      <c r="L593" s="342">
        <v>10000</v>
      </c>
      <c r="M593" s="343">
        <v>10000</v>
      </c>
    </row>
    <row r="594" spans="2:13" s="257" customFormat="1" ht="13.5" thickBot="1" x14ac:dyDescent="0.25">
      <c r="B594" s="242"/>
      <c r="C594" s="14"/>
      <c r="D594" s="242"/>
      <c r="E594" s="586"/>
      <c r="F594" s="242"/>
      <c r="G594" s="242"/>
      <c r="H594" s="369"/>
      <c r="I594" s="370"/>
      <c r="J594" s="370"/>
      <c r="K594" s="371"/>
      <c r="L594" s="372"/>
      <c r="M594" s="373"/>
    </row>
    <row r="595" spans="2:13" s="257" customFormat="1" ht="13.5" thickTop="1" x14ac:dyDescent="0.2">
      <c r="B595" s="226"/>
      <c r="C595" s="251"/>
      <c r="D595" s="226"/>
      <c r="E595" s="576"/>
      <c r="F595" s="226"/>
      <c r="G595" s="226"/>
      <c r="H595" s="434"/>
      <c r="I595" s="2"/>
      <c r="J595" s="2"/>
      <c r="K595" s="339"/>
      <c r="L595" s="342"/>
      <c r="M595" s="343"/>
    </row>
    <row r="596" spans="2:13" s="257" customFormat="1" ht="18" x14ac:dyDescent="0.2">
      <c r="B596" s="381">
        <v>2013</v>
      </c>
      <c r="C596" s="374"/>
      <c r="D596" s="311"/>
      <c r="E596" s="587"/>
      <c r="F596" s="217"/>
      <c r="G596" s="311"/>
      <c r="H596" s="375"/>
      <c r="I596" s="376"/>
      <c r="J596" s="376"/>
      <c r="K596" s="339"/>
      <c r="L596" s="342"/>
      <c r="M596" s="321">
        <f>+M598+M603</f>
        <v>379387.20746589999</v>
      </c>
    </row>
    <row r="597" spans="2:13" s="257" customFormat="1" x14ac:dyDescent="0.2">
      <c r="B597" s="311"/>
      <c r="C597" s="374"/>
      <c r="D597" s="311"/>
      <c r="E597" s="587"/>
      <c r="F597" s="217"/>
      <c r="G597" s="311"/>
      <c r="H597" s="375"/>
      <c r="I597" s="376"/>
      <c r="J597" s="376"/>
      <c r="K597" s="339"/>
      <c r="L597" s="342"/>
      <c r="M597" s="343"/>
    </row>
    <row r="598" spans="2:13" s="257" customFormat="1" x14ac:dyDescent="0.2">
      <c r="B598" s="363" t="s">
        <v>701</v>
      </c>
      <c r="C598" s="251"/>
      <c r="D598" s="226"/>
      <c r="E598" s="576"/>
      <c r="F598" s="226"/>
      <c r="G598" s="226"/>
      <c r="H598" s="434"/>
      <c r="I598" s="2"/>
      <c r="J598" s="2"/>
      <c r="K598" s="436"/>
      <c r="L598" s="13"/>
      <c r="M598" s="296">
        <f>SUM(M599:M601)</f>
        <v>83387.207465899992</v>
      </c>
    </row>
    <row r="599" spans="2:13" s="257" customFormat="1" ht="45" customHeight="1" x14ac:dyDescent="0.2">
      <c r="B599" s="436" t="s">
        <v>1504</v>
      </c>
      <c r="C599" s="631">
        <v>41635</v>
      </c>
      <c r="D599" s="436" t="s">
        <v>600</v>
      </c>
      <c r="E599" s="581" t="s">
        <v>1809</v>
      </c>
      <c r="F599" s="226"/>
      <c r="G599" s="437" t="s">
        <v>89</v>
      </c>
      <c r="H599" s="436" t="s">
        <v>1326</v>
      </c>
      <c r="I599" s="437" t="s">
        <v>916</v>
      </c>
      <c r="J599" s="2" t="s">
        <v>997</v>
      </c>
      <c r="K599" s="436" t="s">
        <v>18</v>
      </c>
      <c r="L599" s="323">
        <v>48660</v>
      </c>
      <c r="M599" s="5">
        <v>48660</v>
      </c>
    </row>
    <row r="600" spans="2:13" s="257" customFormat="1" ht="15" customHeight="1" x14ac:dyDescent="0.2">
      <c r="B600" s="436" t="s">
        <v>1505</v>
      </c>
      <c r="C600" s="631">
        <v>41635</v>
      </c>
      <c r="D600" s="436" t="s">
        <v>600</v>
      </c>
      <c r="E600" s="581" t="s">
        <v>1810</v>
      </c>
      <c r="F600" s="226"/>
      <c r="G600" s="437" t="s">
        <v>1507</v>
      </c>
      <c r="H600" s="347">
        <v>0.02</v>
      </c>
      <c r="I600" s="437" t="s">
        <v>909</v>
      </c>
      <c r="J600" s="2" t="s">
        <v>910</v>
      </c>
      <c r="K600" s="436" t="s">
        <v>790</v>
      </c>
      <c r="L600" s="323">
        <v>10000</v>
      </c>
      <c r="M600" s="5">
        <f>13890882.98636/1000</f>
        <v>13890.88298636</v>
      </c>
    </row>
    <row r="601" spans="2:13" s="257" customFormat="1" ht="15" customHeight="1" x14ac:dyDescent="0.2">
      <c r="B601" s="436" t="s">
        <v>1506</v>
      </c>
      <c r="C601" s="631">
        <v>41635</v>
      </c>
      <c r="D601" s="436" t="s">
        <v>600</v>
      </c>
      <c r="E601" s="581" t="s">
        <v>1811</v>
      </c>
      <c r="F601" s="226"/>
      <c r="G601" s="437" t="s">
        <v>1265</v>
      </c>
      <c r="H601" s="436" t="s">
        <v>1326</v>
      </c>
      <c r="I601" s="437" t="s">
        <v>916</v>
      </c>
      <c r="J601" s="2" t="s">
        <v>1092</v>
      </c>
      <c r="K601" s="436" t="s">
        <v>790</v>
      </c>
      <c r="L601" s="323">
        <v>15000</v>
      </c>
      <c r="M601" s="5">
        <f>20836324.47954/1000</f>
        <v>20836.324479540002</v>
      </c>
    </row>
    <row r="602" spans="2:13" s="257" customFormat="1" x14ac:dyDescent="0.2">
      <c r="B602" s="436"/>
      <c r="C602" s="251"/>
      <c r="D602" s="226"/>
      <c r="E602" s="581"/>
      <c r="F602" s="226"/>
      <c r="G602" s="226"/>
      <c r="H602" s="439"/>
      <c r="I602" s="2"/>
      <c r="J602" s="2"/>
      <c r="K602" s="436"/>
      <c r="L602" s="13"/>
      <c r="M602" s="5"/>
    </row>
    <row r="603" spans="2:13" s="257" customFormat="1" x14ac:dyDescent="0.2">
      <c r="B603" s="295" t="s">
        <v>555</v>
      </c>
      <c r="C603" s="251"/>
      <c r="D603" s="226"/>
      <c r="E603" s="581"/>
      <c r="F603" s="226"/>
      <c r="G603" s="226"/>
      <c r="H603" s="439"/>
      <c r="I603" s="2"/>
      <c r="J603" s="2"/>
      <c r="K603" s="436"/>
      <c r="L603" s="13"/>
      <c r="M603" s="296">
        <f>SUM(M604:M614)</f>
        <v>296000</v>
      </c>
    </row>
    <row r="604" spans="2:13" s="257" customFormat="1" ht="15" customHeight="1" x14ac:dyDescent="0.2">
      <c r="B604" s="436" t="s">
        <v>1508</v>
      </c>
      <c r="C604" s="251">
        <v>41367</v>
      </c>
      <c r="D604" s="436" t="s">
        <v>116</v>
      </c>
      <c r="E604" s="581" t="s">
        <v>1518</v>
      </c>
      <c r="F604" s="226"/>
      <c r="G604" s="437" t="s">
        <v>1265</v>
      </c>
      <c r="H604" s="439" t="s">
        <v>1304</v>
      </c>
      <c r="I604" s="2" t="s">
        <v>916</v>
      </c>
      <c r="J604" s="337" t="s">
        <v>1532</v>
      </c>
      <c r="K604" s="436" t="s">
        <v>18</v>
      </c>
      <c r="L604" s="323">
        <v>45000</v>
      </c>
      <c r="M604" s="385">
        <v>45000</v>
      </c>
    </row>
    <row r="605" spans="2:13" s="257" customFormat="1" ht="15" customHeight="1" x14ac:dyDescent="0.2">
      <c r="B605" s="436" t="s">
        <v>1509</v>
      </c>
      <c r="C605" s="251">
        <v>41452</v>
      </c>
      <c r="D605" s="436" t="s">
        <v>116</v>
      </c>
      <c r="E605" s="571" t="s">
        <v>1519</v>
      </c>
      <c r="F605" s="226"/>
      <c r="G605" s="437" t="s">
        <v>1527</v>
      </c>
      <c r="H605" s="439" t="s">
        <v>1304</v>
      </c>
      <c r="I605" s="2" t="s">
        <v>1035</v>
      </c>
      <c r="J605" s="274" t="s">
        <v>963</v>
      </c>
      <c r="K605" s="436" t="s">
        <v>18</v>
      </c>
      <c r="L605" s="323">
        <v>25000</v>
      </c>
      <c r="M605" s="385">
        <v>25000</v>
      </c>
    </row>
    <row r="606" spans="2:13" s="257" customFormat="1" ht="30" customHeight="1" x14ac:dyDescent="0.2">
      <c r="B606" s="436" t="s">
        <v>1510</v>
      </c>
      <c r="C606" s="251">
        <v>41529</v>
      </c>
      <c r="D606" s="436" t="s">
        <v>116</v>
      </c>
      <c r="E606" s="581" t="s">
        <v>1520</v>
      </c>
      <c r="F606" s="226"/>
      <c r="G606" s="437" t="s">
        <v>1223</v>
      </c>
      <c r="H606" s="439" t="s">
        <v>1304</v>
      </c>
      <c r="I606" s="2" t="s">
        <v>971</v>
      </c>
      <c r="J606" s="274" t="s">
        <v>971</v>
      </c>
      <c r="K606" s="436" t="s">
        <v>18</v>
      </c>
      <c r="L606" s="323">
        <v>20000</v>
      </c>
      <c r="M606" s="385">
        <v>20000</v>
      </c>
    </row>
    <row r="607" spans="2:13" s="257" customFormat="1" ht="15" customHeight="1" x14ac:dyDescent="0.2">
      <c r="B607" s="436" t="s">
        <v>1511</v>
      </c>
      <c r="C607" s="251">
        <v>41576</v>
      </c>
      <c r="D607" s="436" t="s">
        <v>55</v>
      </c>
      <c r="E607" s="581" t="s">
        <v>1521</v>
      </c>
      <c r="F607" s="226"/>
      <c r="G607" s="437" t="s">
        <v>954</v>
      </c>
      <c r="H607" s="439" t="s">
        <v>1226</v>
      </c>
      <c r="I607" s="437" t="s">
        <v>1100</v>
      </c>
      <c r="J607" s="337" t="s">
        <v>1534</v>
      </c>
      <c r="K607" s="436" t="s">
        <v>18</v>
      </c>
      <c r="L607" s="323">
        <v>20000</v>
      </c>
      <c r="M607" s="385">
        <v>20000</v>
      </c>
    </row>
    <row r="608" spans="2:13" s="257" customFormat="1" ht="30" customHeight="1" x14ac:dyDescent="0.2">
      <c r="B608" s="436" t="s">
        <v>1512</v>
      </c>
      <c r="C608" s="251">
        <v>41608</v>
      </c>
      <c r="D608" s="436" t="s">
        <v>97</v>
      </c>
      <c r="E608" s="581" t="s">
        <v>1522</v>
      </c>
      <c r="F608" s="226"/>
      <c r="G608" s="437" t="s">
        <v>1281</v>
      </c>
      <c r="H608" s="439" t="s">
        <v>1878</v>
      </c>
      <c r="I608" s="437" t="s">
        <v>1001</v>
      </c>
      <c r="J608" s="2" t="s">
        <v>916</v>
      </c>
      <c r="K608" s="436" t="s">
        <v>18</v>
      </c>
      <c r="L608" s="323">
        <v>16000</v>
      </c>
      <c r="M608" s="385">
        <v>16000</v>
      </c>
    </row>
    <row r="609" spans="2:13" s="257" customFormat="1" ht="15" customHeight="1" x14ac:dyDescent="0.2">
      <c r="B609" s="436" t="s">
        <v>1513</v>
      </c>
      <c r="C609" s="251">
        <v>41612</v>
      </c>
      <c r="D609" s="436" t="s">
        <v>55</v>
      </c>
      <c r="E609" s="581" t="s">
        <v>1523</v>
      </c>
      <c r="F609" s="226"/>
      <c r="G609" s="437" t="s">
        <v>1265</v>
      </c>
      <c r="H609" s="439" t="s">
        <v>1226</v>
      </c>
      <c r="I609" s="437" t="s">
        <v>968</v>
      </c>
      <c r="J609" s="337" t="s">
        <v>1538</v>
      </c>
      <c r="K609" s="436" t="s">
        <v>18</v>
      </c>
      <c r="L609" s="323">
        <v>30000</v>
      </c>
      <c r="M609" s="385">
        <v>30000</v>
      </c>
    </row>
    <row r="610" spans="2:13" s="257" customFormat="1" ht="15" customHeight="1" x14ac:dyDescent="0.2">
      <c r="B610" s="436" t="s">
        <v>1514</v>
      </c>
      <c r="C610" s="251">
        <v>41612</v>
      </c>
      <c r="D610" s="436" t="s">
        <v>55</v>
      </c>
      <c r="E610" s="581" t="s">
        <v>1217</v>
      </c>
      <c r="F610" s="226"/>
      <c r="G610" s="437" t="s">
        <v>1265</v>
      </c>
      <c r="H610" s="439" t="s">
        <v>1226</v>
      </c>
      <c r="I610" s="437" t="s">
        <v>968</v>
      </c>
      <c r="J610" s="337" t="s">
        <v>1539</v>
      </c>
      <c r="K610" s="436" t="s">
        <v>18</v>
      </c>
      <c r="L610" s="323">
        <v>25000</v>
      </c>
      <c r="M610" s="385">
        <v>25000</v>
      </c>
    </row>
    <row r="611" spans="2:13" s="257" customFormat="1" ht="15" customHeight="1" x14ac:dyDescent="0.2">
      <c r="B611" s="436" t="s">
        <v>1515</v>
      </c>
      <c r="C611" s="251">
        <v>41612</v>
      </c>
      <c r="D611" s="436" t="s">
        <v>55</v>
      </c>
      <c r="E611" s="581" t="s">
        <v>1524</v>
      </c>
      <c r="F611" s="226"/>
      <c r="G611" s="437" t="s">
        <v>1265</v>
      </c>
      <c r="H611" s="439" t="s">
        <v>1226</v>
      </c>
      <c r="I611" s="437" t="s">
        <v>968</v>
      </c>
      <c r="J611" s="337" t="s">
        <v>1539</v>
      </c>
      <c r="K611" s="436" t="s">
        <v>18</v>
      </c>
      <c r="L611" s="323">
        <v>25000</v>
      </c>
      <c r="M611" s="385">
        <v>25000</v>
      </c>
    </row>
    <row r="612" spans="2:13" s="257" customFormat="1" ht="15" customHeight="1" x14ac:dyDescent="0.2">
      <c r="B612" s="436" t="s">
        <v>1516</v>
      </c>
      <c r="C612" s="251">
        <v>41619</v>
      </c>
      <c r="D612" s="436" t="s">
        <v>55</v>
      </c>
      <c r="E612" s="581" t="s">
        <v>1525</v>
      </c>
      <c r="F612" s="226"/>
      <c r="G612" s="437" t="s">
        <v>1528</v>
      </c>
      <c r="H612" s="439" t="s">
        <v>1226</v>
      </c>
      <c r="I612" s="437" t="s">
        <v>1100</v>
      </c>
      <c r="J612" s="337" t="s">
        <v>1541</v>
      </c>
      <c r="K612" s="436" t="s">
        <v>18</v>
      </c>
      <c r="L612" s="323">
        <v>10000</v>
      </c>
      <c r="M612" s="385">
        <v>10000</v>
      </c>
    </row>
    <row r="613" spans="2:13" s="257" customFormat="1" ht="15" customHeight="1" x14ac:dyDescent="0.2">
      <c r="B613" s="436" t="s">
        <v>1517</v>
      </c>
      <c r="C613" s="251">
        <v>41634</v>
      </c>
      <c r="D613" s="436" t="s">
        <v>55</v>
      </c>
      <c r="E613" s="581" t="s">
        <v>1526</v>
      </c>
      <c r="F613" s="226"/>
      <c r="G613" s="437" t="s">
        <v>1529</v>
      </c>
      <c r="H613" s="439" t="s">
        <v>1226</v>
      </c>
      <c r="I613" s="437" t="s">
        <v>1530</v>
      </c>
      <c r="J613" s="2" t="s">
        <v>966</v>
      </c>
      <c r="K613" s="436" t="s">
        <v>18</v>
      </c>
      <c r="L613" s="323">
        <v>40000</v>
      </c>
      <c r="M613" s="385">
        <v>40000</v>
      </c>
    </row>
    <row r="614" spans="2:13" s="257" customFormat="1" ht="15" customHeight="1" x14ac:dyDescent="0.2">
      <c r="B614" s="436" t="s">
        <v>1517</v>
      </c>
      <c r="C614" s="251">
        <v>41634</v>
      </c>
      <c r="D614" s="436" t="s">
        <v>116</v>
      </c>
      <c r="E614" s="581" t="s">
        <v>1526</v>
      </c>
      <c r="F614" s="226"/>
      <c r="G614" s="437" t="s">
        <v>1529</v>
      </c>
      <c r="H614" s="439" t="s">
        <v>1304</v>
      </c>
      <c r="I614" s="437" t="s">
        <v>1530</v>
      </c>
      <c r="J614" s="2" t="s">
        <v>966</v>
      </c>
      <c r="K614" s="436" t="s">
        <v>18</v>
      </c>
      <c r="L614" s="323">
        <v>40000</v>
      </c>
      <c r="M614" s="385">
        <v>40000</v>
      </c>
    </row>
    <row r="615" spans="2:13" s="257" customFormat="1" ht="13.5" thickBot="1" x14ac:dyDescent="0.25">
      <c r="B615" s="371"/>
      <c r="C615" s="377"/>
      <c r="D615" s="371"/>
      <c r="E615" s="644"/>
      <c r="F615" s="221"/>
      <c r="G615" s="303"/>
      <c r="H615" s="645"/>
      <c r="I615" s="303"/>
      <c r="J615" s="378"/>
      <c r="K615" s="371"/>
      <c r="L615" s="379"/>
      <c r="M615" s="380"/>
    </row>
    <row r="616" spans="2:13" s="257" customFormat="1" ht="13.5" thickTop="1" x14ac:dyDescent="0.2">
      <c r="B616" s="311"/>
      <c r="C616" s="374"/>
      <c r="D616" s="339"/>
      <c r="E616" s="589"/>
      <c r="F616" s="217"/>
      <c r="G616" s="339"/>
      <c r="H616" s="382"/>
      <c r="I616" s="314"/>
      <c r="J616" s="341"/>
      <c r="K616" s="339"/>
      <c r="L616" s="383"/>
      <c r="M616" s="384"/>
    </row>
    <row r="617" spans="2:13" s="257" customFormat="1" ht="18" x14ac:dyDescent="0.2">
      <c r="B617" s="381">
        <v>2014</v>
      </c>
      <c r="C617" s="374"/>
      <c r="D617" s="339"/>
      <c r="E617" s="589"/>
      <c r="F617" s="217"/>
      <c r="G617" s="339"/>
      <c r="H617" s="382"/>
      <c r="I617" s="314"/>
      <c r="J617" s="341"/>
      <c r="K617" s="339"/>
      <c r="L617" s="383"/>
      <c r="M617" s="321">
        <f>+M620+M627</f>
        <v>1080412.27763826</v>
      </c>
    </row>
    <row r="618" spans="2:13" s="257" customFormat="1" x14ac:dyDescent="0.2">
      <c r="B618" s="339"/>
      <c r="C618" s="374"/>
      <c r="D618" s="339"/>
      <c r="E618" s="589"/>
      <c r="F618" s="217"/>
      <c r="G618" s="339"/>
      <c r="H618" s="382"/>
      <c r="I618" s="314"/>
      <c r="J618" s="341"/>
      <c r="K618" s="339"/>
      <c r="L618" s="383"/>
      <c r="M618" s="384"/>
    </row>
    <row r="619" spans="2:13" s="257" customFormat="1" x14ac:dyDescent="0.2">
      <c r="B619" s="363" t="s">
        <v>701</v>
      </c>
      <c r="C619" s="251"/>
      <c r="D619" s="436"/>
      <c r="E619" s="581"/>
      <c r="F619" s="226"/>
      <c r="G619" s="436"/>
      <c r="H619" s="439"/>
      <c r="I619" s="437"/>
      <c r="J619" s="3"/>
      <c r="K619" s="436"/>
      <c r="L619" s="323"/>
      <c r="M619" s="385"/>
    </row>
    <row r="620" spans="2:13" s="257" customFormat="1" x14ac:dyDescent="0.2">
      <c r="B620" s="226"/>
      <c r="C620" s="251"/>
      <c r="D620" s="436"/>
      <c r="E620" s="581"/>
      <c r="F620" s="226"/>
      <c r="G620" s="436"/>
      <c r="H620" s="439"/>
      <c r="I620" s="437"/>
      <c r="J620" s="3"/>
      <c r="K620" s="436"/>
      <c r="L620" s="323"/>
      <c r="M620" s="296">
        <f>SUM(M621:M624)</f>
        <v>125412.27763825998</v>
      </c>
    </row>
    <row r="621" spans="2:13" s="257" customFormat="1" ht="15" customHeight="1" x14ac:dyDescent="0.2">
      <c r="B621" s="226" t="s">
        <v>1542</v>
      </c>
      <c r="C621" s="631">
        <v>41948</v>
      </c>
      <c r="D621" s="436" t="s">
        <v>515</v>
      </c>
      <c r="E621" s="581" t="s">
        <v>1812</v>
      </c>
      <c r="F621" s="226"/>
      <c r="G621" s="436" t="s">
        <v>1545</v>
      </c>
      <c r="H621" s="651" t="s">
        <v>1580</v>
      </c>
      <c r="I621" s="437" t="s">
        <v>968</v>
      </c>
      <c r="J621" s="227" t="s">
        <v>1033</v>
      </c>
      <c r="K621" s="436" t="s">
        <v>74</v>
      </c>
      <c r="L621" s="13">
        <v>6944000</v>
      </c>
      <c r="M621" s="5">
        <f>64032786.8824/1000</f>
        <v>64032.786882399996</v>
      </c>
    </row>
    <row r="622" spans="2:13" s="257" customFormat="1" ht="15" customHeight="1" x14ac:dyDescent="0.2">
      <c r="B622" s="226" t="s">
        <v>1543</v>
      </c>
      <c r="C622" s="631">
        <v>41948</v>
      </c>
      <c r="D622" s="436" t="s">
        <v>515</v>
      </c>
      <c r="E622" s="581" t="s">
        <v>1544</v>
      </c>
      <c r="F622" s="226"/>
      <c r="G622" s="436" t="s">
        <v>1546</v>
      </c>
      <c r="H622" s="651" t="s">
        <v>1580</v>
      </c>
      <c r="I622" s="437" t="s">
        <v>968</v>
      </c>
      <c r="J622" s="227" t="s">
        <v>1033</v>
      </c>
      <c r="K622" s="436" t="s">
        <v>74</v>
      </c>
      <c r="L622" s="13">
        <v>2480000</v>
      </c>
      <c r="M622" s="5">
        <f>22868852.458/1000</f>
        <v>22868.852458000001</v>
      </c>
    </row>
    <row r="623" spans="2:13" s="257" customFormat="1" ht="15" customHeight="1" x14ac:dyDescent="0.2">
      <c r="B623" s="226" t="s">
        <v>1547</v>
      </c>
      <c r="C623" s="631">
        <v>41991</v>
      </c>
      <c r="D623" s="436" t="s">
        <v>327</v>
      </c>
      <c r="E623" s="581" t="s">
        <v>1549</v>
      </c>
      <c r="F623" s="226"/>
      <c r="G623" s="436" t="s">
        <v>1550</v>
      </c>
      <c r="H623" s="441" t="s">
        <v>1236</v>
      </c>
      <c r="I623" s="437" t="s">
        <v>916</v>
      </c>
      <c r="J623" s="3" t="s">
        <v>965</v>
      </c>
      <c r="K623" s="436" t="s">
        <v>790</v>
      </c>
      <c r="L623" s="13">
        <v>15000</v>
      </c>
      <c r="M623" s="5">
        <f>19255319.14893/1000</f>
        <v>19255.319148929997</v>
      </c>
    </row>
    <row r="624" spans="2:13" s="257" customFormat="1" ht="15" customHeight="1" x14ac:dyDescent="0.2">
      <c r="B624" s="226" t="s">
        <v>1548</v>
      </c>
      <c r="C624" s="631">
        <v>41991</v>
      </c>
      <c r="D624" s="436" t="s">
        <v>327</v>
      </c>
      <c r="E624" s="581" t="s">
        <v>1568</v>
      </c>
      <c r="F624" s="226"/>
      <c r="G624" s="436" t="s">
        <v>1550</v>
      </c>
      <c r="H624" s="441" t="s">
        <v>1236</v>
      </c>
      <c r="I624" s="437" t="s">
        <v>916</v>
      </c>
      <c r="J624" s="3" t="s">
        <v>965</v>
      </c>
      <c r="K624" s="436" t="s">
        <v>790</v>
      </c>
      <c r="L624" s="13">
        <v>15000</v>
      </c>
      <c r="M624" s="5">
        <f>19255319.14893/1000</f>
        <v>19255.319148929997</v>
      </c>
    </row>
    <row r="625" spans="2:13" s="257" customFormat="1" x14ac:dyDescent="0.2">
      <c r="B625" s="226"/>
      <c r="C625" s="251"/>
      <c r="D625" s="436"/>
      <c r="E625" s="581"/>
      <c r="F625" s="226"/>
      <c r="G625" s="436"/>
      <c r="H625" s="439"/>
      <c r="I625" s="437"/>
      <c r="J625" s="3"/>
      <c r="K625" s="436"/>
      <c r="L625" s="13"/>
      <c r="M625" s="5"/>
    </row>
    <row r="626" spans="2:13" s="257" customFormat="1" x14ac:dyDescent="0.2">
      <c r="B626" s="367" t="s">
        <v>555</v>
      </c>
      <c r="C626" s="251"/>
      <c r="D626" s="436"/>
      <c r="E626" s="581"/>
      <c r="F626" s="226"/>
      <c r="G626" s="436"/>
      <c r="H626" s="439"/>
      <c r="I626" s="437"/>
      <c r="J626" s="3"/>
      <c r="K626" s="436"/>
      <c r="L626" s="13"/>
      <c r="M626" s="5"/>
    </row>
    <row r="627" spans="2:13" s="257" customFormat="1" x14ac:dyDescent="0.2">
      <c r="B627" s="226"/>
      <c r="C627" s="251"/>
      <c r="D627" s="436"/>
      <c r="E627" s="581"/>
      <c r="F627" s="226"/>
      <c r="G627" s="436"/>
      <c r="H627" s="439"/>
      <c r="I627" s="437"/>
      <c r="J627" s="3"/>
      <c r="K627" s="436"/>
      <c r="L627" s="13"/>
      <c r="M627" s="296">
        <f>SUM(M628:M639)</f>
        <v>955000</v>
      </c>
    </row>
    <row r="628" spans="2:13" s="257" customFormat="1" ht="15" customHeight="1" x14ac:dyDescent="0.2">
      <c r="B628" s="226" t="s">
        <v>1551</v>
      </c>
      <c r="C628" s="631">
        <v>41742</v>
      </c>
      <c r="D628" s="436" t="s">
        <v>97</v>
      </c>
      <c r="E628" s="581" t="s">
        <v>1563</v>
      </c>
      <c r="F628" s="226"/>
      <c r="G628" s="436" t="s">
        <v>1572</v>
      </c>
      <c r="H628" s="439" t="s">
        <v>1660</v>
      </c>
      <c r="I628" s="437" t="s">
        <v>1001</v>
      </c>
      <c r="J628" s="2" t="s">
        <v>1094</v>
      </c>
      <c r="K628" s="436" t="s">
        <v>18</v>
      </c>
      <c r="L628" s="13">
        <v>150000</v>
      </c>
      <c r="M628" s="5">
        <v>150000</v>
      </c>
    </row>
    <row r="629" spans="2:13" s="257" customFormat="1" ht="30" customHeight="1" x14ac:dyDescent="0.2">
      <c r="B629" s="226" t="s">
        <v>1552</v>
      </c>
      <c r="C629" s="631">
        <v>41843</v>
      </c>
      <c r="D629" s="436" t="s">
        <v>55</v>
      </c>
      <c r="E629" s="581" t="s">
        <v>1564</v>
      </c>
      <c r="F629" s="226"/>
      <c r="G629" s="436" t="s">
        <v>1573</v>
      </c>
      <c r="H629" s="439" t="s">
        <v>1577</v>
      </c>
      <c r="I629" s="437" t="s">
        <v>968</v>
      </c>
      <c r="J629" s="2" t="s">
        <v>966</v>
      </c>
      <c r="K629" s="436" t="s">
        <v>18</v>
      </c>
      <c r="L629" s="13">
        <v>15000</v>
      </c>
      <c r="M629" s="5">
        <v>15000</v>
      </c>
    </row>
    <row r="630" spans="2:13" s="257" customFormat="1" ht="30" customHeight="1" x14ac:dyDescent="0.2">
      <c r="B630" s="226" t="s">
        <v>1553</v>
      </c>
      <c r="C630" s="631">
        <v>41843</v>
      </c>
      <c r="D630" s="436" t="s">
        <v>116</v>
      </c>
      <c r="E630" s="581" t="s">
        <v>1565</v>
      </c>
      <c r="F630" s="226"/>
      <c r="G630" s="436" t="s">
        <v>1574</v>
      </c>
      <c r="H630" s="439" t="s">
        <v>1578</v>
      </c>
      <c r="I630" s="437" t="s">
        <v>967</v>
      </c>
      <c r="J630" s="2" t="s">
        <v>1033</v>
      </c>
      <c r="K630" s="436" t="s">
        <v>18</v>
      </c>
      <c r="L630" s="13">
        <v>120000</v>
      </c>
      <c r="M630" s="5">
        <v>120000</v>
      </c>
    </row>
    <row r="631" spans="2:13" s="257" customFormat="1" ht="30" customHeight="1" x14ac:dyDescent="0.2">
      <c r="B631" s="226" t="s">
        <v>1554</v>
      </c>
      <c r="C631" s="631">
        <v>41843</v>
      </c>
      <c r="D631" s="436" t="s">
        <v>116</v>
      </c>
      <c r="E631" s="581" t="s">
        <v>1813</v>
      </c>
      <c r="F631" s="226"/>
      <c r="G631" s="436" t="s">
        <v>1574</v>
      </c>
      <c r="H631" s="439" t="s">
        <v>1578</v>
      </c>
      <c r="I631" s="437" t="s">
        <v>971</v>
      </c>
      <c r="J631" s="2" t="s">
        <v>966</v>
      </c>
      <c r="K631" s="436" t="s">
        <v>18</v>
      </c>
      <c r="L631" s="13">
        <v>35000</v>
      </c>
      <c r="M631" s="5">
        <v>35000</v>
      </c>
    </row>
    <row r="632" spans="2:13" s="257" customFormat="1" ht="30" customHeight="1" x14ac:dyDescent="0.2">
      <c r="B632" s="226" t="s">
        <v>1555</v>
      </c>
      <c r="C632" s="631">
        <v>41937</v>
      </c>
      <c r="D632" s="436" t="s">
        <v>55</v>
      </c>
      <c r="E632" s="581" t="s">
        <v>1566</v>
      </c>
      <c r="F632" s="226"/>
      <c r="G632" s="436" t="s">
        <v>1550</v>
      </c>
      <c r="H632" s="439" t="s">
        <v>1577</v>
      </c>
      <c r="I632" s="437" t="s">
        <v>968</v>
      </c>
      <c r="J632" s="2" t="s">
        <v>966</v>
      </c>
      <c r="K632" s="436" t="s">
        <v>18</v>
      </c>
      <c r="L632" s="13">
        <v>25000</v>
      </c>
      <c r="M632" s="5">
        <v>25000</v>
      </c>
    </row>
    <row r="633" spans="2:13" s="257" customFormat="1" ht="30" customHeight="1" x14ac:dyDescent="0.2">
      <c r="B633" s="226" t="s">
        <v>1556</v>
      </c>
      <c r="C633" s="631">
        <v>41948</v>
      </c>
      <c r="D633" s="436" t="s">
        <v>55</v>
      </c>
      <c r="E633" s="581" t="s">
        <v>1567</v>
      </c>
      <c r="F633" s="226"/>
      <c r="G633" s="436" t="s">
        <v>1302</v>
      </c>
      <c r="H633" s="439" t="s">
        <v>1577</v>
      </c>
      <c r="I633" s="437" t="s">
        <v>1100</v>
      </c>
      <c r="J633" s="2" t="s">
        <v>1269</v>
      </c>
      <c r="K633" s="436" t="s">
        <v>18</v>
      </c>
      <c r="L633" s="13">
        <v>15000</v>
      </c>
      <c r="M633" s="5">
        <v>15000</v>
      </c>
    </row>
    <row r="634" spans="2:13" s="257" customFormat="1" ht="30" customHeight="1" x14ac:dyDescent="0.2">
      <c r="B634" s="226" t="s">
        <v>1557</v>
      </c>
      <c r="C634" s="631">
        <v>41971</v>
      </c>
      <c r="D634" s="436" t="s">
        <v>55</v>
      </c>
      <c r="E634" s="581" t="s">
        <v>1568</v>
      </c>
      <c r="F634" s="226"/>
      <c r="G634" s="436" t="s">
        <v>1550</v>
      </c>
      <c r="H634" s="439" t="s">
        <v>1577</v>
      </c>
      <c r="I634" s="437" t="s">
        <v>968</v>
      </c>
      <c r="J634" s="2" t="s">
        <v>966</v>
      </c>
      <c r="K634" s="436" t="s">
        <v>18</v>
      </c>
      <c r="L634" s="13">
        <v>25000</v>
      </c>
      <c r="M634" s="5">
        <v>25000</v>
      </c>
    </row>
    <row r="635" spans="2:13" s="257" customFormat="1" ht="30" customHeight="1" x14ac:dyDescent="0.2">
      <c r="B635" s="226" t="s">
        <v>1558</v>
      </c>
      <c r="C635" s="631">
        <v>41971</v>
      </c>
      <c r="D635" s="436" t="s">
        <v>55</v>
      </c>
      <c r="E635" s="581" t="s">
        <v>1569</v>
      </c>
      <c r="F635" s="226"/>
      <c r="G635" s="436" t="s">
        <v>1550</v>
      </c>
      <c r="H635" s="439" t="s">
        <v>1577</v>
      </c>
      <c r="I635" s="437" t="s">
        <v>968</v>
      </c>
      <c r="J635" s="2" t="s">
        <v>966</v>
      </c>
      <c r="K635" s="436" t="s">
        <v>18</v>
      </c>
      <c r="L635" s="13">
        <v>25000</v>
      </c>
      <c r="M635" s="5">
        <v>25000</v>
      </c>
    </row>
    <row r="636" spans="2:13" s="257" customFormat="1" ht="30" customHeight="1" x14ac:dyDescent="0.2">
      <c r="B636" s="226" t="s">
        <v>1559</v>
      </c>
      <c r="C636" s="631">
        <v>42000</v>
      </c>
      <c r="D636" s="436" t="s">
        <v>55</v>
      </c>
      <c r="E636" s="581" t="s">
        <v>1814</v>
      </c>
      <c r="F636" s="226"/>
      <c r="G636" s="436" t="s">
        <v>1575</v>
      </c>
      <c r="H636" s="439" t="s">
        <v>1577</v>
      </c>
      <c r="I636" s="348" t="s">
        <v>1581</v>
      </c>
      <c r="J636" s="337" t="s">
        <v>1582</v>
      </c>
      <c r="K636" s="436" t="s">
        <v>18</v>
      </c>
      <c r="L636" s="13">
        <v>300000</v>
      </c>
      <c r="M636" s="5">
        <v>300000</v>
      </c>
    </row>
    <row r="637" spans="2:13" s="257" customFormat="1" ht="30" customHeight="1" x14ac:dyDescent="0.2">
      <c r="B637" s="226" t="s">
        <v>1560</v>
      </c>
      <c r="C637" s="631">
        <v>42000</v>
      </c>
      <c r="D637" s="436" t="s">
        <v>97</v>
      </c>
      <c r="E637" s="581" t="s">
        <v>1814</v>
      </c>
      <c r="F637" s="226"/>
      <c r="G637" s="436" t="s">
        <v>1575</v>
      </c>
      <c r="H637" s="439" t="s">
        <v>1661</v>
      </c>
      <c r="I637" s="437" t="s">
        <v>1035</v>
      </c>
      <c r="J637" s="2" t="s">
        <v>530</v>
      </c>
      <c r="K637" s="436" t="s">
        <v>18</v>
      </c>
      <c r="L637" s="13">
        <v>150000</v>
      </c>
      <c r="M637" s="5">
        <v>150000</v>
      </c>
    </row>
    <row r="638" spans="2:13" s="257" customFormat="1" ht="45" customHeight="1" x14ac:dyDescent="0.2">
      <c r="B638" s="226" t="s">
        <v>1561</v>
      </c>
      <c r="C638" s="631">
        <v>42000</v>
      </c>
      <c r="D638" s="436" t="s">
        <v>116</v>
      </c>
      <c r="E638" s="581" t="s">
        <v>1570</v>
      </c>
      <c r="F638" s="226"/>
      <c r="G638" s="436" t="s">
        <v>89</v>
      </c>
      <c r="H638" s="439" t="s">
        <v>1579</v>
      </c>
      <c r="I638" s="437" t="s">
        <v>916</v>
      </c>
      <c r="J638" s="2" t="s">
        <v>1096</v>
      </c>
      <c r="K638" s="436" t="s">
        <v>18</v>
      </c>
      <c r="L638" s="13">
        <v>55000</v>
      </c>
      <c r="M638" s="5">
        <v>55000</v>
      </c>
    </row>
    <row r="639" spans="2:13" s="257" customFormat="1" ht="30" customHeight="1" x14ac:dyDescent="0.2">
      <c r="B639" s="226" t="s">
        <v>1562</v>
      </c>
      <c r="C639" s="631">
        <v>42000</v>
      </c>
      <c r="D639" s="436" t="s">
        <v>55</v>
      </c>
      <c r="E639" s="581" t="s">
        <v>1571</v>
      </c>
      <c r="F639" s="226"/>
      <c r="G639" s="436" t="s">
        <v>1576</v>
      </c>
      <c r="H639" s="439" t="s">
        <v>1577</v>
      </c>
      <c r="I639" s="348" t="s">
        <v>1583</v>
      </c>
      <c r="J639" s="337" t="s">
        <v>1584</v>
      </c>
      <c r="K639" s="436" t="s">
        <v>18</v>
      </c>
      <c r="L639" s="13">
        <v>40000</v>
      </c>
      <c r="M639" s="5">
        <v>40000</v>
      </c>
    </row>
    <row r="640" spans="2:13" s="257" customFormat="1" ht="13.5" thickBot="1" x14ac:dyDescent="0.25">
      <c r="B640" s="242"/>
      <c r="C640" s="14"/>
      <c r="D640" s="242"/>
      <c r="E640" s="659"/>
      <c r="F640" s="242"/>
      <c r="G640" s="242"/>
      <c r="H640" s="660"/>
      <c r="I640" s="370"/>
      <c r="J640" s="661"/>
      <c r="K640" s="647"/>
      <c r="L640" s="662"/>
      <c r="M640" s="663"/>
    </row>
    <row r="641" spans="2:13" s="257" customFormat="1" ht="13.5" thickTop="1" x14ac:dyDescent="0.2">
      <c r="B641" s="363"/>
      <c r="C641" s="652"/>
      <c r="D641" s="217"/>
      <c r="E641" s="653"/>
      <c r="F641" s="217"/>
      <c r="G641" s="217"/>
      <c r="H641" s="335"/>
      <c r="I641" s="219"/>
      <c r="J641" s="334"/>
      <c r="K641" s="335"/>
      <c r="L641" s="344"/>
      <c r="M641" s="296"/>
    </row>
    <row r="642" spans="2:13" s="257" customFormat="1" ht="18" x14ac:dyDescent="0.2">
      <c r="B642" s="381">
        <v>2015</v>
      </c>
      <c r="C642" s="386"/>
      <c r="D642" s="339"/>
      <c r="E642" s="589"/>
      <c r="F642" s="217"/>
      <c r="G642" s="311"/>
      <c r="H642" s="382"/>
      <c r="I642" s="314"/>
      <c r="J642" s="341"/>
      <c r="K642" s="339"/>
      <c r="L642" s="383"/>
      <c r="M642" s="321">
        <f>+M645+M650</f>
        <v>468800.47295299999</v>
      </c>
    </row>
    <row r="643" spans="2:13" s="257" customFormat="1" x14ac:dyDescent="0.2">
      <c r="B643" s="311"/>
      <c r="C643" s="386"/>
      <c r="D643" s="339"/>
      <c r="E643" s="589"/>
      <c r="F643" s="217"/>
      <c r="G643" s="311"/>
      <c r="H643" s="382"/>
      <c r="I643" s="314"/>
      <c r="J643" s="341"/>
      <c r="K643" s="339"/>
      <c r="L643" s="383"/>
      <c r="M643" s="384"/>
    </row>
    <row r="644" spans="2:13" s="257" customFormat="1" x14ac:dyDescent="0.2">
      <c r="B644" s="363" t="s">
        <v>701</v>
      </c>
      <c r="C644" s="387"/>
      <c r="D644" s="436"/>
      <c r="E644" s="581"/>
      <c r="F644" s="226"/>
      <c r="G644" s="226"/>
      <c r="H644" s="439"/>
      <c r="I644" s="437"/>
      <c r="J644" s="3"/>
      <c r="K644" s="339"/>
      <c r="L644" s="383"/>
      <c r="M644" s="384"/>
    </row>
    <row r="645" spans="2:13" s="257" customFormat="1" x14ac:dyDescent="0.2">
      <c r="B645" s="226"/>
      <c r="C645" s="387"/>
      <c r="D645" s="436"/>
      <c r="E645" s="581"/>
      <c r="F645" s="226"/>
      <c r="G645" s="226"/>
      <c r="H645" s="439"/>
      <c r="I645" s="437"/>
      <c r="J645" s="3"/>
      <c r="K645" s="339"/>
      <c r="L645" s="383"/>
      <c r="M645" s="296">
        <f>SUM(M646:M647)</f>
        <v>68800.472953000004</v>
      </c>
    </row>
    <row r="646" spans="2:13" s="257" customFormat="1" ht="15" customHeight="1" x14ac:dyDescent="0.2">
      <c r="B646" s="226" t="s">
        <v>1585</v>
      </c>
      <c r="C646" s="505">
        <v>42360</v>
      </c>
      <c r="D646" s="436" t="s">
        <v>327</v>
      </c>
      <c r="E646" s="581" t="s">
        <v>1587</v>
      </c>
      <c r="F646" s="226"/>
      <c r="G646" s="654" t="s">
        <v>69</v>
      </c>
      <c r="H646" s="441" t="s">
        <v>1236</v>
      </c>
      <c r="I646" s="437" t="s">
        <v>1001</v>
      </c>
      <c r="J646" s="2" t="s">
        <v>1094</v>
      </c>
      <c r="K646" s="436" t="s">
        <v>18</v>
      </c>
      <c r="L646" s="342">
        <f>44800472.953/1000</f>
        <v>44800.472953000004</v>
      </c>
      <c r="M646" s="343">
        <f>44800472.953/1000</f>
        <v>44800.472953000004</v>
      </c>
    </row>
    <row r="647" spans="2:13" s="257" customFormat="1" ht="45" customHeight="1" x14ac:dyDescent="0.2">
      <c r="B647" s="226" t="s">
        <v>1586</v>
      </c>
      <c r="C647" s="505">
        <v>42368</v>
      </c>
      <c r="D647" s="436" t="s">
        <v>327</v>
      </c>
      <c r="E647" s="581" t="s">
        <v>1588</v>
      </c>
      <c r="F647" s="226"/>
      <c r="G647" s="654" t="s">
        <v>89</v>
      </c>
      <c r="H647" s="441" t="s">
        <v>1236</v>
      </c>
      <c r="I647" s="437" t="s">
        <v>1589</v>
      </c>
      <c r="J647" s="2" t="s">
        <v>909</v>
      </c>
      <c r="K647" s="436" t="s">
        <v>18</v>
      </c>
      <c r="L647" s="342">
        <f>24000000/1000</f>
        <v>24000</v>
      </c>
      <c r="M647" s="343">
        <f>24000000/1000</f>
        <v>24000</v>
      </c>
    </row>
    <row r="648" spans="2:13" s="257" customFormat="1" x14ac:dyDescent="0.2">
      <c r="B648" s="226"/>
      <c r="C648" s="387"/>
      <c r="D648" s="436"/>
      <c r="E648" s="581"/>
      <c r="F648" s="226"/>
      <c r="G648" s="226"/>
      <c r="H648" s="439"/>
      <c r="I648" s="437"/>
      <c r="J648" s="3"/>
      <c r="K648" s="339"/>
      <c r="L648" s="342"/>
      <c r="M648" s="343"/>
    </row>
    <row r="649" spans="2:13" s="257" customFormat="1" x14ac:dyDescent="0.2">
      <c r="B649" s="367" t="s">
        <v>555</v>
      </c>
      <c r="C649" s="387"/>
      <c r="D649" s="436"/>
      <c r="E649" s="581"/>
      <c r="F649" s="226"/>
      <c r="G649" s="226"/>
      <c r="H649" s="439"/>
      <c r="I649" s="437"/>
      <c r="J649" s="3"/>
      <c r="K649" s="339"/>
      <c r="L649" s="342"/>
      <c r="M649" s="343"/>
    </row>
    <row r="650" spans="2:13" s="257" customFormat="1" x14ac:dyDescent="0.2">
      <c r="B650" s="226"/>
      <c r="C650" s="387"/>
      <c r="D650" s="436"/>
      <c r="E650" s="581"/>
      <c r="F650" s="226"/>
      <c r="G650" s="226"/>
      <c r="H650" s="439"/>
      <c r="I650" s="437"/>
      <c r="J650" s="3"/>
      <c r="K650" s="339"/>
      <c r="L650" s="342"/>
      <c r="M650" s="296">
        <f>SUM(M651:M653)</f>
        <v>400000</v>
      </c>
    </row>
    <row r="651" spans="2:13" s="257" customFormat="1" ht="30" customHeight="1" x14ac:dyDescent="0.2">
      <c r="B651" s="226" t="s">
        <v>1590</v>
      </c>
      <c r="C651" s="505">
        <v>42356</v>
      </c>
      <c r="D651" s="436" t="s">
        <v>116</v>
      </c>
      <c r="E651" s="581" t="s">
        <v>1592</v>
      </c>
      <c r="F651" s="226"/>
      <c r="G651" s="654" t="s">
        <v>1593</v>
      </c>
      <c r="H651" s="434" t="s">
        <v>1595</v>
      </c>
      <c r="I651" s="437" t="s">
        <v>916</v>
      </c>
      <c r="J651" s="2" t="s">
        <v>1097</v>
      </c>
      <c r="K651" s="436" t="s">
        <v>18</v>
      </c>
      <c r="L651" s="342">
        <f>300000000/1000</f>
        <v>300000</v>
      </c>
      <c r="M651" s="343">
        <v>300000</v>
      </c>
    </row>
    <row r="652" spans="2:13" s="257" customFormat="1" ht="30" customHeight="1" x14ac:dyDescent="0.2">
      <c r="B652" s="226" t="s">
        <v>1591</v>
      </c>
      <c r="C652" s="505">
        <v>42368</v>
      </c>
      <c r="D652" s="436" t="s">
        <v>55</v>
      </c>
      <c r="E652" s="581" t="s">
        <v>1862</v>
      </c>
      <c r="F652" s="226"/>
      <c r="G652" s="654" t="s">
        <v>1594</v>
      </c>
      <c r="H652" s="434" t="s">
        <v>1596</v>
      </c>
      <c r="I652" s="437" t="s">
        <v>1229</v>
      </c>
      <c r="J652" s="2" t="s">
        <v>1598</v>
      </c>
      <c r="K652" s="436" t="s">
        <v>18</v>
      </c>
      <c r="L652" s="342">
        <f>50000000/1000</f>
        <v>50000</v>
      </c>
      <c r="M652" s="343">
        <v>50000</v>
      </c>
    </row>
    <row r="653" spans="2:13" s="257" customFormat="1" ht="30" customHeight="1" x14ac:dyDescent="0.2">
      <c r="B653" s="226" t="s">
        <v>1591</v>
      </c>
      <c r="C653" s="505">
        <v>42368</v>
      </c>
      <c r="D653" s="436" t="s">
        <v>116</v>
      </c>
      <c r="E653" s="581" t="s">
        <v>1862</v>
      </c>
      <c r="F653" s="226"/>
      <c r="G653" s="654" t="s">
        <v>1594</v>
      </c>
      <c r="H653" s="434" t="s">
        <v>1597</v>
      </c>
      <c r="I653" s="437" t="s">
        <v>1229</v>
      </c>
      <c r="J653" s="2" t="s">
        <v>1598</v>
      </c>
      <c r="K653" s="436" t="s">
        <v>18</v>
      </c>
      <c r="L653" s="342">
        <f>50000000/1000</f>
        <v>50000</v>
      </c>
      <c r="M653" s="343">
        <v>50000</v>
      </c>
    </row>
    <row r="654" spans="2:13" s="257" customFormat="1" ht="13.5" thickBot="1" x14ac:dyDescent="0.25">
      <c r="B654" s="301"/>
      <c r="C654" s="664"/>
      <c r="D654" s="371"/>
      <c r="E654" s="644"/>
      <c r="F654" s="221"/>
      <c r="G654" s="301"/>
      <c r="H654" s="645"/>
      <c r="I654" s="303"/>
      <c r="J654" s="378"/>
      <c r="K654" s="647"/>
      <c r="L654" s="372"/>
      <c r="M654" s="373"/>
    </row>
    <row r="655" spans="2:13" s="257" customFormat="1" ht="13.5" thickTop="1" x14ac:dyDescent="0.2">
      <c r="B655" s="311"/>
      <c r="C655" s="655"/>
      <c r="D655" s="339"/>
      <c r="E655" s="589"/>
      <c r="F655" s="217"/>
      <c r="G655" s="311"/>
      <c r="H655" s="382"/>
      <c r="I655" s="314"/>
      <c r="J655" s="376"/>
      <c r="K655" s="436"/>
      <c r="L655" s="342"/>
      <c r="M655" s="343"/>
    </row>
    <row r="656" spans="2:13" s="257" customFormat="1" ht="18" x14ac:dyDescent="0.2">
      <c r="B656" s="381">
        <v>2016</v>
      </c>
      <c r="C656" s="386"/>
      <c r="D656" s="339"/>
      <c r="E656" s="589"/>
      <c r="F656" s="217"/>
      <c r="G656" s="311"/>
      <c r="H656" s="382"/>
      <c r="I656" s="314"/>
      <c r="J656" s="341"/>
      <c r="K656" s="339"/>
      <c r="L656" s="383"/>
      <c r="M656" s="321">
        <f>+M662+M667+M658</f>
        <v>2090194.1010401659</v>
      </c>
    </row>
    <row r="657" spans="2:13" s="257" customFormat="1" x14ac:dyDescent="0.2">
      <c r="B657" s="311"/>
      <c r="C657" s="386"/>
      <c r="D657" s="339"/>
      <c r="E657" s="589"/>
      <c r="F657" s="217"/>
      <c r="G657" s="311"/>
      <c r="H657" s="382"/>
      <c r="I657" s="314"/>
      <c r="J657" s="341"/>
      <c r="K657" s="339"/>
      <c r="L657" s="383"/>
      <c r="M657" s="384"/>
    </row>
    <row r="658" spans="2:13" s="257" customFormat="1" x14ac:dyDescent="0.2">
      <c r="B658" s="363" t="s">
        <v>786</v>
      </c>
      <c r="C658" s="387"/>
      <c r="D658" s="436"/>
      <c r="E658" s="581"/>
      <c r="F658" s="226"/>
      <c r="G658" s="226"/>
      <c r="H658" s="439"/>
      <c r="I658" s="437"/>
      <c r="J658" s="3"/>
      <c r="K658" s="436"/>
      <c r="L658" s="323"/>
      <c r="M658" s="296">
        <f>+M659</f>
        <v>1285000</v>
      </c>
    </row>
    <row r="659" spans="2:13" s="257" customFormat="1" ht="15" customHeight="1" x14ac:dyDescent="0.2">
      <c r="B659" s="251" t="s">
        <v>1636</v>
      </c>
      <c r="C659" s="505">
        <v>42344</v>
      </c>
      <c r="D659" s="436" t="s">
        <v>1637</v>
      </c>
      <c r="E659" s="581" t="s">
        <v>1638</v>
      </c>
      <c r="F659" s="226"/>
      <c r="G659" s="437" t="s">
        <v>13</v>
      </c>
      <c r="H659" s="656" t="s">
        <v>1643</v>
      </c>
      <c r="I659" s="638" t="s">
        <v>833</v>
      </c>
      <c r="J659" s="657" t="s">
        <v>1644</v>
      </c>
      <c r="K659" s="436" t="s">
        <v>18</v>
      </c>
      <c r="L659" s="13">
        <v>1285000</v>
      </c>
      <c r="M659" s="5">
        <f>L659</f>
        <v>1285000</v>
      </c>
    </row>
    <row r="660" spans="2:13" s="257" customFormat="1" x14ac:dyDescent="0.2">
      <c r="B660" s="226"/>
      <c r="C660" s="387"/>
      <c r="D660" s="436"/>
      <c r="E660" s="581"/>
      <c r="F660" s="226"/>
      <c r="G660" s="226"/>
      <c r="H660" s="439"/>
      <c r="I660" s="437"/>
      <c r="J660" s="3"/>
      <c r="K660" s="436"/>
      <c r="L660" s="13"/>
      <c r="M660" s="385"/>
    </row>
    <row r="661" spans="2:13" s="257" customFormat="1" x14ac:dyDescent="0.2">
      <c r="B661" s="363" t="s">
        <v>701</v>
      </c>
      <c r="C661" s="387"/>
      <c r="D661" s="436"/>
      <c r="E661" s="581"/>
      <c r="F661" s="226"/>
      <c r="G661" s="226"/>
      <c r="H661" s="439"/>
      <c r="I661" s="437"/>
      <c r="J661" s="3"/>
      <c r="K661" s="436"/>
      <c r="L661" s="13"/>
      <c r="M661" s="385"/>
    </row>
    <row r="662" spans="2:13" s="257" customFormat="1" x14ac:dyDescent="0.2">
      <c r="B662" s="226"/>
      <c r="C662" s="387"/>
      <c r="D662" s="436"/>
      <c r="E662" s="581"/>
      <c r="F662" s="226"/>
      <c r="G662" s="226"/>
      <c r="H662" s="439"/>
      <c r="I662" s="437"/>
      <c r="J662" s="3"/>
      <c r="K662" s="436"/>
      <c r="L662" s="13"/>
      <c r="M662" s="296">
        <f>SUM(M663:M664)</f>
        <v>326596.52908016602</v>
      </c>
    </row>
    <row r="663" spans="2:13" s="257" customFormat="1" ht="30" customHeight="1" x14ac:dyDescent="0.2">
      <c r="B663" s="251" t="s">
        <v>1607</v>
      </c>
      <c r="C663" s="505">
        <v>42621</v>
      </c>
      <c r="D663" s="436" t="s">
        <v>327</v>
      </c>
      <c r="E663" s="581" t="s">
        <v>1610</v>
      </c>
      <c r="F663" s="226"/>
      <c r="G663" s="437" t="s">
        <v>1593</v>
      </c>
      <c r="H663" s="389">
        <v>1.47E-2</v>
      </c>
      <c r="I663" s="437" t="s">
        <v>1001</v>
      </c>
      <c r="J663" s="227" t="s">
        <v>1229</v>
      </c>
      <c r="K663" s="436" t="s">
        <v>790</v>
      </c>
      <c r="L663" s="13">
        <f>192270000/1000</f>
        <v>192270</v>
      </c>
      <c r="M663" s="5">
        <f>200000000/1000</f>
        <v>200000</v>
      </c>
    </row>
    <row r="664" spans="2:13" s="257" customFormat="1" ht="30" customHeight="1" x14ac:dyDescent="0.2">
      <c r="B664" s="251" t="s">
        <v>1608</v>
      </c>
      <c r="C664" s="505">
        <v>42732</v>
      </c>
      <c r="D664" s="436" t="s">
        <v>1609</v>
      </c>
      <c r="E664" s="581" t="s">
        <v>1610</v>
      </c>
      <c r="F664" s="226"/>
      <c r="G664" s="437" t="s">
        <v>1593</v>
      </c>
      <c r="H664" s="439" t="s">
        <v>1662</v>
      </c>
      <c r="I664" s="437" t="s">
        <v>971</v>
      </c>
      <c r="J664" s="227" t="s">
        <v>1094</v>
      </c>
      <c r="K664" s="436" t="s">
        <v>790</v>
      </c>
      <c r="L664" s="13">
        <f>120483000/1000</f>
        <v>120483</v>
      </c>
      <c r="M664" s="5">
        <f>126596529.080166/1000</f>
        <v>126596.529080166</v>
      </c>
    </row>
    <row r="665" spans="2:13" s="257" customFormat="1" x14ac:dyDescent="0.2">
      <c r="B665" s="226"/>
      <c r="C665" s="387"/>
      <c r="D665" s="436"/>
      <c r="E665" s="581"/>
      <c r="F665" s="226"/>
      <c r="G665" s="226"/>
      <c r="H665" s="439"/>
      <c r="I665" s="437"/>
      <c r="J665" s="3"/>
      <c r="K665" s="436"/>
      <c r="L665" s="13"/>
      <c r="M665" s="5"/>
    </row>
    <row r="666" spans="2:13" s="257" customFormat="1" x14ac:dyDescent="0.2">
      <c r="B666" s="367" t="s">
        <v>555</v>
      </c>
      <c r="C666" s="387"/>
      <c r="D666" s="436"/>
      <c r="E666" s="581"/>
      <c r="F666" s="226"/>
      <c r="G666" s="226"/>
      <c r="H666" s="439"/>
      <c r="I666" s="437"/>
      <c r="J666" s="3"/>
      <c r="K666" s="436"/>
      <c r="L666" s="13"/>
      <c r="M666" s="5"/>
    </row>
    <row r="667" spans="2:13" s="257" customFormat="1" x14ac:dyDescent="0.2">
      <c r="B667" s="226"/>
      <c r="C667" s="387"/>
      <c r="D667" s="436"/>
      <c r="E667" s="581"/>
      <c r="F667" s="226"/>
      <c r="G667" s="226"/>
      <c r="H667" s="439"/>
      <c r="I667" s="437"/>
      <c r="J667" s="3"/>
      <c r="K667" s="436"/>
      <c r="L667" s="13"/>
      <c r="M667" s="296">
        <f>SUM(M668:M676)</f>
        <v>478597.57195999997</v>
      </c>
    </row>
    <row r="668" spans="2:13" s="257" customFormat="1" ht="30" customHeight="1" x14ac:dyDescent="0.2">
      <c r="B668" s="251" t="s">
        <v>1616</v>
      </c>
      <c r="C668" s="505">
        <v>42488</v>
      </c>
      <c r="D668" s="436" t="s">
        <v>55</v>
      </c>
      <c r="E668" s="581" t="s">
        <v>1815</v>
      </c>
      <c r="F668" s="226"/>
      <c r="G668" s="437" t="s">
        <v>818</v>
      </c>
      <c r="H668" s="439" t="s">
        <v>1596</v>
      </c>
      <c r="I668" s="437" t="s">
        <v>1635</v>
      </c>
      <c r="J668" s="338" t="s">
        <v>1645</v>
      </c>
      <c r="K668" s="436" t="s">
        <v>18</v>
      </c>
      <c r="L668" s="13">
        <f>20000000/1000</f>
        <v>20000</v>
      </c>
      <c r="M668" s="5">
        <f>20000000/1000</f>
        <v>20000</v>
      </c>
    </row>
    <row r="669" spans="2:13" s="257" customFormat="1" ht="45" customHeight="1" x14ac:dyDescent="0.2">
      <c r="B669" s="251" t="s">
        <v>1617</v>
      </c>
      <c r="C669" s="505">
        <v>42544</v>
      </c>
      <c r="D669" s="436" t="s">
        <v>55</v>
      </c>
      <c r="E669" s="581" t="s">
        <v>1620</v>
      </c>
      <c r="F669" s="226"/>
      <c r="G669" s="437" t="s">
        <v>1627</v>
      </c>
      <c r="H669" s="439" t="s">
        <v>1596</v>
      </c>
      <c r="I669" s="437" t="s">
        <v>1094</v>
      </c>
      <c r="J669" s="338" t="s">
        <v>1646</v>
      </c>
      <c r="K669" s="436" t="s">
        <v>18</v>
      </c>
      <c r="L669" s="13">
        <f>30000000/1000</f>
        <v>30000</v>
      </c>
      <c r="M669" s="5">
        <f>30000000/1000</f>
        <v>30000</v>
      </c>
    </row>
    <row r="670" spans="2:13" s="257" customFormat="1" ht="15" customHeight="1" x14ac:dyDescent="0.2">
      <c r="B670" s="251" t="s">
        <v>1618</v>
      </c>
      <c r="C670" s="505">
        <v>42560</v>
      </c>
      <c r="D670" s="436" t="s">
        <v>97</v>
      </c>
      <c r="E670" s="581" t="s">
        <v>1621</v>
      </c>
      <c r="F670" s="226"/>
      <c r="G670" s="437" t="s">
        <v>1628</v>
      </c>
      <c r="H670" s="439" t="s">
        <v>1663</v>
      </c>
      <c r="I670" s="437" t="s">
        <v>1001</v>
      </c>
      <c r="J670" s="227" t="s">
        <v>1094</v>
      </c>
      <c r="K670" s="436" t="s">
        <v>18</v>
      </c>
      <c r="L670" s="13">
        <f>153813112/1000</f>
        <v>153813.11199999999</v>
      </c>
      <c r="M670" s="5">
        <f>153813112/1000</f>
        <v>153813.11199999999</v>
      </c>
    </row>
    <row r="671" spans="2:13" s="257" customFormat="1" ht="30" customHeight="1" x14ac:dyDescent="0.2">
      <c r="B671" s="251" t="s">
        <v>1619</v>
      </c>
      <c r="C671" s="505">
        <v>42600</v>
      </c>
      <c r="D671" s="436" t="s">
        <v>55</v>
      </c>
      <c r="E671" s="581" t="s">
        <v>1622</v>
      </c>
      <c r="F671" s="226"/>
      <c r="G671" s="437" t="s">
        <v>1629</v>
      </c>
      <c r="H671" s="439" t="s">
        <v>1596</v>
      </c>
      <c r="I671" s="437" t="s">
        <v>1094</v>
      </c>
      <c r="J671" s="338" t="s">
        <v>1647</v>
      </c>
      <c r="K671" s="436" t="s">
        <v>18</v>
      </c>
      <c r="L671" s="13">
        <f>40000000/1000</f>
        <v>40000</v>
      </c>
      <c r="M671" s="5">
        <f>40000000/1000</f>
        <v>40000</v>
      </c>
    </row>
    <row r="672" spans="2:13" s="257" customFormat="1" ht="30" customHeight="1" x14ac:dyDescent="0.2">
      <c r="B672" s="251" t="s">
        <v>1611</v>
      </c>
      <c r="C672" s="505">
        <v>42621</v>
      </c>
      <c r="D672" s="436" t="s">
        <v>288</v>
      </c>
      <c r="E672" s="581" t="s">
        <v>1816</v>
      </c>
      <c r="F672" s="226"/>
      <c r="G672" s="437" t="s">
        <v>1302</v>
      </c>
      <c r="H672" s="439" t="s">
        <v>1631</v>
      </c>
      <c r="I672" s="437" t="s">
        <v>968</v>
      </c>
      <c r="J672" s="227" t="s">
        <v>1229</v>
      </c>
      <c r="K672" s="436" t="s">
        <v>133</v>
      </c>
      <c r="L672" s="13">
        <f>20650000/1000</f>
        <v>20650</v>
      </c>
      <c r="M672" s="256">
        <f>28980210/1000</f>
        <v>28980.21</v>
      </c>
    </row>
    <row r="673" spans="2:13" s="257" customFormat="1" ht="30" customHeight="1" x14ac:dyDescent="0.2">
      <c r="B673" s="251" t="s">
        <v>1612</v>
      </c>
      <c r="C673" s="505">
        <v>42719</v>
      </c>
      <c r="D673" s="436" t="s">
        <v>97</v>
      </c>
      <c r="E673" s="581" t="s">
        <v>1623</v>
      </c>
      <c r="F673" s="226"/>
      <c r="G673" s="437" t="s">
        <v>1630</v>
      </c>
      <c r="H673" s="439" t="s">
        <v>1632</v>
      </c>
      <c r="I673" s="437" t="s">
        <v>916</v>
      </c>
      <c r="J673" s="227" t="s">
        <v>1097</v>
      </c>
      <c r="K673" s="436" t="s">
        <v>18</v>
      </c>
      <c r="L673" s="13">
        <f>80804249.96/1000</f>
        <v>80804.249959999986</v>
      </c>
      <c r="M673" s="5">
        <f>80804249.96/1000</f>
        <v>80804.249959999986</v>
      </c>
    </row>
    <row r="674" spans="2:13" s="257" customFormat="1" ht="30" customHeight="1" x14ac:dyDescent="0.2">
      <c r="B674" s="251" t="s">
        <v>1613</v>
      </c>
      <c r="C674" s="505">
        <v>42735</v>
      </c>
      <c r="D674" s="436" t="s">
        <v>116</v>
      </c>
      <c r="E674" s="581" t="s">
        <v>1624</v>
      </c>
      <c r="F674" s="226"/>
      <c r="G674" s="437" t="s">
        <v>1629</v>
      </c>
      <c r="H674" s="389" t="s">
        <v>1633</v>
      </c>
      <c r="I674" s="437" t="s">
        <v>1101</v>
      </c>
      <c r="J674" s="227" t="s">
        <v>971</v>
      </c>
      <c r="K674" s="436" t="s">
        <v>18</v>
      </c>
      <c r="L674" s="13">
        <f>40000000/1000</f>
        <v>40000</v>
      </c>
      <c r="M674" s="5">
        <f>40000000/1000</f>
        <v>40000</v>
      </c>
    </row>
    <row r="675" spans="2:13" s="257" customFormat="1" ht="30" customHeight="1" x14ac:dyDescent="0.2">
      <c r="B675" s="251" t="s">
        <v>1614</v>
      </c>
      <c r="C675" s="505">
        <v>42735</v>
      </c>
      <c r="D675" s="436" t="s">
        <v>116</v>
      </c>
      <c r="E675" s="581" t="s">
        <v>1625</v>
      </c>
      <c r="F675" s="226"/>
      <c r="G675" s="434" t="s">
        <v>1865</v>
      </c>
      <c r="H675" s="389" t="s">
        <v>1633</v>
      </c>
      <c r="I675" s="437" t="s">
        <v>916</v>
      </c>
      <c r="J675" s="227" t="s">
        <v>1269</v>
      </c>
      <c r="K675" s="436" t="s">
        <v>18</v>
      </c>
      <c r="L675" s="13">
        <f>45000000/1000</f>
        <v>45000</v>
      </c>
      <c r="M675" s="5">
        <f>45000000/1000</f>
        <v>45000</v>
      </c>
    </row>
    <row r="676" spans="2:13" s="257" customFormat="1" ht="30" customHeight="1" x14ac:dyDescent="0.2">
      <c r="B676" s="251" t="s">
        <v>1615</v>
      </c>
      <c r="C676" s="505">
        <v>42735</v>
      </c>
      <c r="D676" s="436" t="s">
        <v>116</v>
      </c>
      <c r="E676" s="581" t="s">
        <v>1626</v>
      </c>
      <c r="F676" s="226"/>
      <c r="G676" s="434" t="s">
        <v>1866</v>
      </c>
      <c r="H676" s="389" t="s">
        <v>1634</v>
      </c>
      <c r="I676" s="437" t="s">
        <v>916</v>
      </c>
      <c r="J676" s="227" t="s">
        <v>1269</v>
      </c>
      <c r="K676" s="436" t="s">
        <v>18</v>
      </c>
      <c r="L676" s="13">
        <f>40000000/1000</f>
        <v>40000</v>
      </c>
      <c r="M676" s="5">
        <f>40000000/1000</f>
        <v>40000</v>
      </c>
    </row>
    <row r="677" spans="2:13" s="257" customFormat="1" ht="10.5" customHeight="1" thickBot="1" x14ac:dyDescent="0.25">
      <c r="B677" s="14"/>
      <c r="C677" s="665"/>
      <c r="D677" s="647"/>
      <c r="E677" s="659"/>
      <c r="F677" s="242"/>
      <c r="G677" s="666"/>
      <c r="H677" s="388"/>
      <c r="I677" s="666"/>
      <c r="J677" s="667"/>
      <c r="K677" s="647"/>
      <c r="L677" s="662"/>
      <c r="M677" s="663"/>
    </row>
    <row r="678" spans="2:13" s="257" customFormat="1" ht="10.5" customHeight="1" thickTop="1" x14ac:dyDescent="0.2">
      <c r="B678" s="251"/>
      <c r="C678" s="505"/>
      <c r="D678" s="436"/>
      <c r="E678" s="581"/>
      <c r="F678" s="226"/>
      <c r="G678" s="437"/>
      <c r="H678" s="389"/>
      <c r="I678" s="437"/>
      <c r="J678" s="227"/>
      <c r="K678" s="436"/>
      <c r="L678" s="13"/>
      <c r="M678" s="5"/>
    </row>
    <row r="679" spans="2:13" s="257" customFormat="1" ht="21.75" customHeight="1" x14ac:dyDescent="0.2">
      <c r="B679" s="381">
        <v>2017</v>
      </c>
      <c r="C679" s="386"/>
      <c r="D679" s="339"/>
      <c r="E679" s="589"/>
      <c r="F679" s="217"/>
      <c r="G679" s="311"/>
      <c r="H679" s="382"/>
      <c r="I679" s="314"/>
      <c r="J679" s="341"/>
      <c r="K679" s="339"/>
      <c r="L679" s="383"/>
      <c r="M679" s="321">
        <f>+M682</f>
        <v>120000</v>
      </c>
    </row>
    <row r="680" spans="2:13" s="257" customFormat="1" ht="15.75" customHeight="1" x14ac:dyDescent="0.2">
      <c r="B680" s="251"/>
      <c r="C680" s="505"/>
      <c r="D680" s="436"/>
      <c r="E680" s="581"/>
      <c r="F680" s="226"/>
      <c r="G680" s="437"/>
      <c r="H680" s="389"/>
      <c r="I680" s="437"/>
      <c r="J680" s="227"/>
      <c r="K680" s="436"/>
      <c r="L680" s="13"/>
      <c r="M680" s="5"/>
    </row>
    <row r="681" spans="2:13" s="275" customFormat="1" ht="21.75" customHeight="1" x14ac:dyDescent="0.2">
      <c r="B681" s="367" t="s">
        <v>555</v>
      </c>
      <c r="C681" s="387"/>
      <c r="D681" s="436"/>
      <c r="E681" s="581"/>
      <c r="F681" s="226"/>
      <c r="G681" s="226"/>
      <c r="H681" s="439"/>
      <c r="I681" s="437"/>
      <c r="J681" s="3"/>
      <c r="K681" s="436"/>
      <c r="L681" s="13"/>
      <c r="M681" s="5"/>
    </row>
    <row r="682" spans="2:13" s="275" customFormat="1" ht="21.75" customHeight="1" x14ac:dyDescent="0.2">
      <c r="B682" s="226"/>
      <c r="C682" s="387"/>
      <c r="D682" s="436"/>
      <c r="E682" s="581"/>
      <c r="F682" s="226"/>
      <c r="G682" s="226"/>
      <c r="H682" s="439"/>
      <c r="I682" s="437"/>
      <c r="J682" s="3"/>
      <c r="K682" s="436"/>
      <c r="L682" s="13"/>
      <c r="M682" s="296">
        <f>SUM(M683:M684)</f>
        <v>120000</v>
      </c>
    </row>
    <row r="683" spans="2:13" s="275" customFormat="1" ht="30" customHeight="1" x14ac:dyDescent="0.2">
      <c r="B683" s="251" t="s">
        <v>1672</v>
      </c>
      <c r="C683" s="505">
        <v>42962</v>
      </c>
      <c r="D683" s="436" t="s">
        <v>116</v>
      </c>
      <c r="E683" s="581" t="s">
        <v>1674</v>
      </c>
      <c r="F683" s="226" t="s">
        <v>11</v>
      </c>
      <c r="G683" s="226" t="s">
        <v>1676</v>
      </c>
      <c r="H683" s="398" t="s">
        <v>1924</v>
      </c>
      <c r="I683" s="633" t="s">
        <v>916</v>
      </c>
      <c r="J683" s="658" t="s">
        <v>1733</v>
      </c>
      <c r="K683" s="436" t="s">
        <v>18</v>
      </c>
      <c r="L683" s="13">
        <v>40000</v>
      </c>
      <c r="M683" s="5">
        <v>40000</v>
      </c>
    </row>
    <row r="684" spans="2:13" s="275" customFormat="1" ht="30" customHeight="1" x14ac:dyDescent="0.2">
      <c r="B684" s="251" t="s">
        <v>1673</v>
      </c>
      <c r="C684" s="505">
        <v>42963</v>
      </c>
      <c r="D684" s="436" t="s">
        <v>55</v>
      </c>
      <c r="E684" s="581" t="s">
        <v>1675</v>
      </c>
      <c r="F684" s="226" t="s">
        <v>735</v>
      </c>
      <c r="G684" s="632" t="s">
        <v>1864</v>
      </c>
      <c r="H684" s="398" t="s">
        <v>1922</v>
      </c>
      <c r="I684" s="633" t="s">
        <v>909</v>
      </c>
      <c r="J684" s="634" t="s">
        <v>1677</v>
      </c>
      <c r="K684" s="436" t="s">
        <v>18</v>
      </c>
      <c r="L684" s="13">
        <v>80000</v>
      </c>
      <c r="M684" s="5">
        <v>80000</v>
      </c>
    </row>
    <row r="685" spans="2:13" s="257" customFormat="1" ht="10.5" customHeight="1" thickBot="1" x14ac:dyDescent="0.25">
      <c r="B685" s="377"/>
      <c r="C685" s="668"/>
      <c r="D685" s="647"/>
      <c r="E685" s="644"/>
      <c r="F685" s="242"/>
      <c r="G685" s="669"/>
      <c r="H685" s="390"/>
      <c r="I685" s="670"/>
      <c r="J685" s="671"/>
      <c r="K685" s="647"/>
      <c r="L685" s="662"/>
      <c r="M685" s="663"/>
    </row>
    <row r="686" spans="2:13" s="257" customFormat="1" ht="17.25" customHeight="1" thickTop="1" x14ac:dyDescent="0.2">
      <c r="B686" s="374"/>
      <c r="C686" s="400"/>
      <c r="D686" s="436"/>
      <c r="E686" s="589"/>
      <c r="F686" s="226"/>
      <c r="G686" s="397"/>
      <c r="H686" s="393"/>
      <c r="I686" s="394"/>
      <c r="J686" s="395"/>
      <c r="K686" s="436"/>
      <c r="L686" s="13"/>
      <c r="M686" s="5"/>
    </row>
    <row r="687" spans="2:13" s="257" customFormat="1" ht="24.75" customHeight="1" x14ac:dyDescent="0.2">
      <c r="B687" s="381">
        <v>2018</v>
      </c>
      <c r="C687" s="396"/>
      <c r="D687" s="226"/>
      <c r="E687" s="589"/>
      <c r="F687" s="226"/>
      <c r="G687" s="397"/>
      <c r="H687" s="393"/>
      <c r="I687" s="394"/>
      <c r="J687" s="395"/>
      <c r="K687" s="436"/>
      <c r="L687" s="13"/>
      <c r="M687" s="321">
        <f>+M689+M693</f>
        <v>1339294.5</v>
      </c>
    </row>
    <row r="688" spans="2:13" s="257" customFormat="1" ht="15.75" customHeight="1" x14ac:dyDescent="0.2">
      <c r="B688" s="381"/>
      <c r="C688" s="396"/>
      <c r="D688" s="226"/>
      <c r="E688" s="589"/>
      <c r="F688" s="226"/>
      <c r="G688" s="397"/>
      <c r="H688" s="393"/>
      <c r="I688" s="394"/>
      <c r="J688" s="395"/>
      <c r="K688" s="436"/>
      <c r="L688" s="13"/>
      <c r="M688" s="5"/>
    </row>
    <row r="689" spans="2:13" s="275" customFormat="1" ht="24.75" customHeight="1" x14ac:dyDescent="0.2">
      <c r="B689" s="363" t="s">
        <v>701</v>
      </c>
      <c r="C689" s="631"/>
      <c r="D689" s="226"/>
      <c r="E689" s="581"/>
      <c r="F689" s="226"/>
      <c r="G689" s="632"/>
      <c r="H689" s="398"/>
      <c r="I689" s="633"/>
      <c r="J689" s="634"/>
      <c r="K689" s="436"/>
      <c r="L689" s="13"/>
      <c r="M689" s="399">
        <f>SUM(M690:M692)</f>
        <v>92894.5</v>
      </c>
    </row>
    <row r="690" spans="2:13" s="275" customFormat="1" ht="30" customHeight="1" x14ac:dyDescent="0.2">
      <c r="B690" s="251" t="s">
        <v>1679</v>
      </c>
      <c r="C690" s="631">
        <v>43448</v>
      </c>
      <c r="D690" s="226" t="s">
        <v>327</v>
      </c>
      <c r="E690" s="581" t="s">
        <v>1680</v>
      </c>
      <c r="F690" s="187" t="s">
        <v>1081</v>
      </c>
      <c r="G690" s="635" t="s">
        <v>1863</v>
      </c>
      <c r="H690" s="636">
        <v>5.0000000000000001E-3</v>
      </c>
      <c r="I690" s="398" t="s">
        <v>916</v>
      </c>
      <c r="J690" s="230" t="s">
        <v>909</v>
      </c>
      <c r="K690" s="436" t="s">
        <v>790</v>
      </c>
      <c r="L690" s="13">
        <v>60000</v>
      </c>
      <c r="M690" s="5">
        <v>70894.5</v>
      </c>
    </row>
    <row r="691" spans="2:13" s="275" customFormat="1" ht="30" customHeight="1" x14ac:dyDescent="0.2">
      <c r="B691" s="251" t="s">
        <v>1681</v>
      </c>
      <c r="C691" s="631">
        <v>43413</v>
      </c>
      <c r="D691" s="226" t="s">
        <v>327</v>
      </c>
      <c r="E691" s="581" t="s">
        <v>1682</v>
      </c>
      <c r="F691" s="187" t="s">
        <v>54</v>
      </c>
      <c r="G691" s="635" t="s">
        <v>1683</v>
      </c>
      <c r="H691" s="636">
        <v>1.2E-2</v>
      </c>
      <c r="I691" s="398" t="s">
        <v>1269</v>
      </c>
      <c r="J691" s="230" t="s">
        <v>916</v>
      </c>
      <c r="K691" s="436" t="s">
        <v>790</v>
      </c>
      <c r="L691" s="13">
        <v>19335.560000000001</v>
      </c>
      <c r="M691" s="5">
        <v>22000</v>
      </c>
    </row>
    <row r="692" spans="2:13" s="257" customFormat="1" ht="14.25" customHeight="1" x14ac:dyDescent="0.2">
      <c r="B692" s="363"/>
      <c r="C692" s="396"/>
      <c r="D692" s="226"/>
      <c r="E692" s="589"/>
      <c r="F692" s="226"/>
      <c r="G692" s="397"/>
      <c r="H692" s="393"/>
      <c r="I692" s="394"/>
      <c r="J692" s="395"/>
      <c r="K692" s="436"/>
      <c r="L692" s="13"/>
      <c r="M692" s="5"/>
    </row>
    <row r="693" spans="2:13" s="275" customFormat="1" ht="24.75" customHeight="1" x14ac:dyDescent="0.2">
      <c r="B693" s="367" t="s">
        <v>555</v>
      </c>
      <c r="C693" s="631"/>
      <c r="D693" s="226"/>
      <c r="E693" s="581"/>
      <c r="F693" s="226"/>
      <c r="G693" s="632"/>
      <c r="H693" s="398"/>
      <c r="I693" s="633"/>
      <c r="J693" s="634"/>
      <c r="K693" s="436"/>
      <c r="L693" s="13"/>
      <c r="M693" s="399">
        <f>SUM(M694:M708)</f>
        <v>1246400</v>
      </c>
    </row>
    <row r="694" spans="2:13" s="275" customFormat="1" ht="30" customHeight="1" x14ac:dyDescent="0.2">
      <c r="B694" s="251" t="s">
        <v>1684</v>
      </c>
      <c r="C694" s="631">
        <v>43202</v>
      </c>
      <c r="D694" s="187" t="s">
        <v>55</v>
      </c>
      <c r="E694" s="581" t="s">
        <v>1698</v>
      </c>
      <c r="F694" s="187" t="s">
        <v>54</v>
      </c>
      <c r="G694" s="632" t="s">
        <v>1699</v>
      </c>
      <c r="H694" s="398" t="s">
        <v>1922</v>
      </c>
      <c r="I694" s="637" t="s">
        <v>1097</v>
      </c>
      <c r="J694" s="634" t="s">
        <v>1719</v>
      </c>
      <c r="K694" s="436" t="s">
        <v>18</v>
      </c>
      <c r="L694" s="234">
        <v>65000</v>
      </c>
      <c r="M694" s="5">
        <v>65000</v>
      </c>
    </row>
    <row r="695" spans="2:13" s="275" customFormat="1" ht="15" customHeight="1" x14ac:dyDescent="0.2">
      <c r="B695" s="251" t="s">
        <v>1685</v>
      </c>
      <c r="C695" s="631">
        <v>43340</v>
      </c>
      <c r="D695" s="187" t="s">
        <v>55</v>
      </c>
      <c r="E695" s="581" t="s">
        <v>1817</v>
      </c>
      <c r="F695" s="187" t="s">
        <v>1081</v>
      </c>
      <c r="G695" s="187" t="s">
        <v>1700</v>
      </c>
      <c r="H695" s="398" t="s">
        <v>1922</v>
      </c>
      <c r="I695" s="437" t="s">
        <v>967</v>
      </c>
      <c r="J695" s="634" t="s">
        <v>1720</v>
      </c>
      <c r="K695" s="436" t="s">
        <v>18</v>
      </c>
      <c r="L695" s="234">
        <v>100000</v>
      </c>
      <c r="M695" s="5">
        <v>100000</v>
      </c>
    </row>
    <row r="696" spans="2:13" s="275" customFormat="1" ht="30" customHeight="1" x14ac:dyDescent="0.2">
      <c r="B696" s="251" t="s">
        <v>1686</v>
      </c>
      <c r="C696" s="631">
        <v>43329</v>
      </c>
      <c r="D696" s="187" t="s">
        <v>55</v>
      </c>
      <c r="E696" s="581" t="s">
        <v>1701</v>
      </c>
      <c r="F696" s="187" t="s">
        <v>881</v>
      </c>
      <c r="G696" s="187" t="s">
        <v>881</v>
      </c>
      <c r="H696" s="398" t="s">
        <v>1922</v>
      </c>
      <c r="I696" s="637" t="s">
        <v>1097</v>
      </c>
      <c r="J696" s="634" t="s">
        <v>1721</v>
      </c>
      <c r="K696" s="436" t="s">
        <v>18</v>
      </c>
      <c r="L696" s="234">
        <v>50000</v>
      </c>
      <c r="M696" s="5">
        <v>50000</v>
      </c>
    </row>
    <row r="697" spans="2:13" s="275" customFormat="1" ht="30" customHeight="1" x14ac:dyDescent="0.2">
      <c r="B697" s="251" t="s">
        <v>1687</v>
      </c>
      <c r="C697" s="631">
        <v>43348</v>
      </c>
      <c r="D697" s="187" t="s">
        <v>55</v>
      </c>
      <c r="E697" s="581" t="s">
        <v>1818</v>
      </c>
      <c r="F697" s="187" t="s">
        <v>319</v>
      </c>
      <c r="G697" s="187" t="s">
        <v>1342</v>
      </c>
      <c r="H697" s="398" t="s">
        <v>1922</v>
      </c>
      <c r="I697" s="638" t="s">
        <v>1711</v>
      </c>
      <c r="J697" s="634" t="s">
        <v>1722</v>
      </c>
      <c r="K697" s="436" t="s">
        <v>18</v>
      </c>
      <c r="L697" s="234">
        <v>75000</v>
      </c>
      <c r="M697" s="5">
        <v>75000</v>
      </c>
    </row>
    <row r="698" spans="2:13" s="275" customFormat="1" ht="15" customHeight="1" x14ac:dyDescent="0.2">
      <c r="B698" s="251" t="s">
        <v>1688</v>
      </c>
      <c r="C698" s="631">
        <v>43355</v>
      </c>
      <c r="D698" s="187" t="s">
        <v>55</v>
      </c>
      <c r="E698" s="581" t="s">
        <v>1819</v>
      </c>
      <c r="F698" s="187" t="s">
        <v>11</v>
      </c>
      <c r="G698" s="187" t="s">
        <v>1702</v>
      </c>
      <c r="H698" s="398" t="s">
        <v>1922</v>
      </c>
      <c r="I698" s="638" t="s">
        <v>1712</v>
      </c>
      <c r="J698" s="634" t="s">
        <v>1723</v>
      </c>
      <c r="K698" s="436" t="s">
        <v>18</v>
      </c>
      <c r="L698" s="234">
        <v>100000</v>
      </c>
      <c r="M698" s="5">
        <v>100000</v>
      </c>
    </row>
    <row r="699" spans="2:13" s="275" customFormat="1" ht="15" customHeight="1" x14ac:dyDescent="0.2">
      <c r="B699" s="251" t="s">
        <v>1689</v>
      </c>
      <c r="C699" s="631">
        <v>43372</v>
      </c>
      <c r="D699" s="187" t="s">
        <v>55</v>
      </c>
      <c r="E699" s="581" t="s">
        <v>1703</v>
      </c>
      <c r="F699" s="187" t="s">
        <v>1678</v>
      </c>
      <c r="G699" s="187" t="s">
        <v>1281</v>
      </c>
      <c r="H699" s="398" t="s">
        <v>1922</v>
      </c>
      <c r="I699" s="638" t="s">
        <v>1712</v>
      </c>
      <c r="J699" s="634" t="s">
        <v>1724</v>
      </c>
      <c r="K699" s="436" t="s">
        <v>18</v>
      </c>
      <c r="L699" s="234">
        <v>30000</v>
      </c>
      <c r="M699" s="5">
        <v>30000</v>
      </c>
    </row>
    <row r="700" spans="2:13" s="275" customFormat="1" ht="30" customHeight="1" x14ac:dyDescent="0.2">
      <c r="B700" s="251" t="s">
        <v>1690</v>
      </c>
      <c r="C700" s="631">
        <v>43458</v>
      </c>
      <c r="D700" s="187" t="s">
        <v>55</v>
      </c>
      <c r="E700" s="581" t="s">
        <v>1704</v>
      </c>
      <c r="F700" s="187" t="s">
        <v>680</v>
      </c>
      <c r="G700" s="187" t="s">
        <v>954</v>
      </c>
      <c r="H700" s="398" t="s">
        <v>1922</v>
      </c>
      <c r="I700" s="638" t="s">
        <v>1713</v>
      </c>
      <c r="J700" s="634" t="s">
        <v>1725</v>
      </c>
      <c r="K700" s="436" t="s">
        <v>18</v>
      </c>
      <c r="L700" s="234">
        <v>50000</v>
      </c>
      <c r="M700" s="5">
        <v>50000</v>
      </c>
    </row>
    <row r="701" spans="2:13" s="275" customFormat="1" ht="45" customHeight="1" x14ac:dyDescent="0.2">
      <c r="B701" s="251" t="s">
        <v>1691</v>
      </c>
      <c r="C701" s="631">
        <v>43458</v>
      </c>
      <c r="D701" s="187" t="s">
        <v>116</v>
      </c>
      <c r="E701" s="581" t="s">
        <v>1705</v>
      </c>
      <c r="F701" s="187" t="s">
        <v>1081</v>
      </c>
      <c r="G701" s="635" t="s">
        <v>1706</v>
      </c>
      <c r="H701" s="398" t="s">
        <v>1923</v>
      </c>
      <c r="I701" s="639" t="s">
        <v>1714</v>
      </c>
      <c r="J701" s="634" t="s">
        <v>1727</v>
      </c>
      <c r="K701" s="436" t="s">
        <v>18</v>
      </c>
      <c r="L701" s="234">
        <v>70000</v>
      </c>
      <c r="M701" s="5">
        <v>70000</v>
      </c>
    </row>
    <row r="702" spans="2:13" s="275" customFormat="1" ht="30" customHeight="1" x14ac:dyDescent="0.2">
      <c r="B702" s="251" t="s">
        <v>1692</v>
      </c>
      <c r="C702" s="631">
        <v>43462</v>
      </c>
      <c r="D702" s="187" t="s">
        <v>55</v>
      </c>
      <c r="E702" s="581" t="s">
        <v>1820</v>
      </c>
      <c r="F702" s="187" t="s">
        <v>680</v>
      </c>
      <c r="G702" s="635" t="s">
        <v>1707</v>
      </c>
      <c r="H702" s="398" t="s">
        <v>1922</v>
      </c>
      <c r="I702" s="638" t="s">
        <v>1715</v>
      </c>
      <c r="J702" s="634" t="s">
        <v>1728</v>
      </c>
      <c r="K702" s="436" t="s">
        <v>18</v>
      </c>
      <c r="L702" s="234">
        <v>50000</v>
      </c>
      <c r="M702" s="5">
        <v>50000</v>
      </c>
    </row>
    <row r="703" spans="2:13" s="275" customFormat="1" ht="15" customHeight="1" x14ac:dyDescent="0.2">
      <c r="B703" s="251" t="s">
        <v>1693</v>
      </c>
      <c r="C703" s="631">
        <v>43462</v>
      </c>
      <c r="D703" s="187" t="s">
        <v>55</v>
      </c>
      <c r="E703" s="581" t="s">
        <v>1708</v>
      </c>
      <c r="F703" s="187" t="s">
        <v>141</v>
      </c>
      <c r="G703" s="635" t="s">
        <v>1144</v>
      </c>
      <c r="H703" s="398" t="s">
        <v>1226</v>
      </c>
      <c r="I703" s="638" t="s">
        <v>1711</v>
      </c>
      <c r="J703" s="634" t="s">
        <v>1729</v>
      </c>
      <c r="K703" s="436" t="s">
        <v>18</v>
      </c>
      <c r="L703" s="234">
        <v>125000</v>
      </c>
      <c r="M703" s="5">
        <v>125000</v>
      </c>
    </row>
    <row r="704" spans="2:13" s="275" customFormat="1" ht="30" customHeight="1" x14ac:dyDescent="0.2">
      <c r="B704" s="251" t="s">
        <v>1693</v>
      </c>
      <c r="C704" s="631">
        <v>43462</v>
      </c>
      <c r="D704" s="187" t="s">
        <v>116</v>
      </c>
      <c r="E704" s="581" t="s">
        <v>1708</v>
      </c>
      <c r="F704" s="187" t="s">
        <v>141</v>
      </c>
      <c r="G704" s="635" t="s">
        <v>1144</v>
      </c>
      <c r="H704" s="398" t="s">
        <v>1923</v>
      </c>
      <c r="I704" s="639" t="s">
        <v>1716</v>
      </c>
      <c r="J704" s="634" t="s">
        <v>1730</v>
      </c>
      <c r="K704" s="436" t="s">
        <v>18</v>
      </c>
      <c r="L704" s="234">
        <v>125000</v>
      </c>
      <c r="M704" s="5">
        <v>125000</v>
      </c>
    </row>
    <row r="705" spans="2:13" s="275" customFormat="1" ht="45" customHeight="1" x14ac:dyDescent="0.2">
      <c r="B705" s="251" t="s">
        <v>1694</v>
      </c>
      <c r="C705" s="631">
        <v>43464</v>
      </c>
      <c r="D705" s="187" t="s">
        <v>116</v>
      </c>
      <c r="E705" s="581" t="s">
        <v>1709</v>
      </c>
      <c r="F705" s="187" t="s">
        <v>1678</v>
      </c>
      <c r="G705" s="635" t="s">
        <v>1281</v>
      </c>
      <c r="H705" s="640" t="s">
        <v>833</v>
      </c>
      <c r="I705" s="641" t="s">
        <v>909</v>
      </c>
      <c r="J705" s="634" t="s">
        <v>1731</v>
      </c>
      <c r="K705" s="436" t="s">
        <v>18</v>
      </c>
      <c r="L705" s="234">
        <v>6400</v>
      </c>
      <c r="M705" s="5">
        <v>6400</v>
      </c>
    </row>
    <row r="706" spans="2:13" s="275" customFormat="1" ht="30" customHeight="1" x14ac:dyDescent="0.2">
      <c r="B706" s="251" t="s">
        <v>1695</v>
      </c>
      <c r="C706" s="251">
        <v>43465</v>
      </c>
      <c r="D706" s="187" t="s">
        <v>55</v>
      </c>
      <c r="E706" s="581" t="s">
        <v>1710</v>
      </c>
      <c r="F706" s="187" t="s">
        <v>680</v>
      </c>
      <c r="G706" s="635" t="s">
        <v>393</v>
      </c>
      <c r="H706" s="398" t="s">
        <v>1922</v>
      </c>
      <c r="I706" s="638" t="s">
        <v>1713</v>
      </c>
      <c r="J706" s="634" t="s">
        <v>1732</v>
      </c>
      <c r="K706" s="436" t="s">
        <v>18</v>
      </c>
      <c r="L706" s="234">
        <v>50000</v>
      </c>
      <c r="M706" s="5">
        <v>50000</v>
      </c>
    </row>
    <row r="707" spans="2:13" s="275" customFormat="1" ht="30" customHeight="1" x14ac:dyDescent="0.2">
      <c r="B707" s="251" t="s">
        <v>1696</v>
      </c>
      <c r="C707" s="631">
        <v>43458</v>
      </c>
      <c r="D707" s="187" t="s">
        <v>55</v>
      </c>
      <c r="E707" s="581" t="s">
        <v>1821</v>
      </c>
      <c r="F707" s="187" t="s">
        <v>54</v>
      </c>
      <c r="G707" s="635" t="s">
        <v>1683</v>
      </c>
      <c r="H707" s="398" t="s">
        <v>1922</v>
      </c>
      <c r="I707" s="638" t="s">
        <v>1717</v>
      </c>
      <c r="J707" s="634" t="s">
        <v>1726</v>
      </c>
      <c r="K707" s="436" t="s">
        <v>18</v>
      </c>
      <c r="L707" s="234">
        <v>100000</v>
      </c>
      <c r="M707" s="642">
        <v>100000</v>
      </c>
    </row>
    <row r="708" spans="2:13" s="275" customFormat="1" ht="30" customHeight="1" x14ac:dyDescent="0.2">
      <c r="B708" s="251" t="s">
        <v>1697</v>
      </c>
      <c r="C708" s="251">
        <v>43465</v>
      </c>
      <c r="D708" s="187" t="s">
        <v>97</v>
      </c>
      <c r="E708" s="581" t="s">
        <v>1822</v>
      </c>
      <c r="F708" s="187" t="s">
        <v>54</v>
      </c>
      <c r="G708" s="635" t="s">
        <v>1683</v>
      </c>
      <c r="H708" s="398" t="s">
        <v>1921</v>
      </c>
      <c r="I708" s="398" t="s">
        <v>1718</v>
      </c>
      <c r="J708" s="398" t="s">
        <v>1151</v>
      </c>
      <c r="K708" s="436" t="s">
        <v>18</v>
      </c>
      <c r="L708" s="234">
        <v>250000</v>
      </c>
      <c r="M708" s="642">
        <v>250000</v>
      </c>
    </row>
    <row r="709" spans="2:13" s="257" customFormat="1" ht="13.5" thickBot="1" x14ac:dyDescent="0.25">
      <c r="B709" s="301"/>
      <c r="C709" s="643"/>
      <c r="D709" s="301"/>
      <c r="E709" s="644"/>
      <c r="F709" s="221"/>
      <c r="G709" s="301"/>
      <c r="H709" s="645"/>
      <c r="I709" s="303"/>
      <c r="J709" s="646"/>
      <c r="K709" s="647"/>
      <c r="L709" s="372"/>
      <c r="M709" s="373"/>
    </row>
    <row r="710" spans="2:13" s="257" customFormat="1" ht="12.75" customHeight="1" thickTop="1" x14ac:dyDescent="0.2">
      <c r="B710" s="506"/>
      <c r="C710" s="507"/>
      <c r="D710" s="508"/>
      <c r="E710" s="588"/>
      <c r="F710" s="391"/>
      <c r="G710" s="392"/>
      <c r="H710" s="509"/>
      <c r="I710" s="510"/>
      <c r="J710" s="511"/>
      <c r="K710" s="508"/>
      <c r="L710" s="512"/>
      <c r="M710" s="513"/>
    </row>
    <row r="711" spans="2:13" s="257" customFormat="1" ht="24" customHeight="1" x14ac:dyDescent="0.2">
      <c r="B711" s="381">
        <v>2019</v>
      </c>
      <c r="C711" s="396"/>
      <c r="D711" s="226"/>
      <c r="E711" s="589"/>
      <c r="F711" s="226"/>
      <c r="G711" s="397"/>
      <c r="H711" s="393"/>
      <c r="I711" s="394"/>
      <c r="J711" s="395"/>
      <c r="K711" s="436"/>
      <c r="L711" s="13"/>
      <c r="M711" s="321">
        <f>+M713+M716</f>
        <v>619221619.76497996</v>
      </c>
    </row>
    <row r="712" spans="2:13" s="257" customFormat="1" ht="13.5" customHeight="1" x14ac:dyDescent="0.2">
      <c r="B712" s="381"/>
      <c r="C712" s="396"/>
      <c r="D712" s="226"/>
      <c r="E712" s="589"/>
      <c r="F712" s="226"/>
      <c r="G712" s="397"/>
      <c r="H712" s="393"/>
      <c r="I712" s="394"/>
      <c r="J712" s="395"/>
      <c r="K712" s="436"/>
      <c r="L712" s="13"/>
      <c r="M712" s="5"/>
    </row>
    <row r="713" spans="2:13" s="257" customFormat="1" ht="24" customHeight="1" x14ac:dyDescent="0.2">
      <c r="B713" s="363" t="s">
        <v>701</v>
      </c>
      <c r="C713" s="631"/>
      <c r="D713" s="226"/>
      <c r="E713" s="581"/>
      <c r="F713" s="226"/>
      <c r="G713" s="632"/>
      <c r="H713" s="398"/>
      <c r="I713" s="633"/>
      <c r="J713" s="634"/>
      <c r="K713" s="436"/>
      <c r="L713" s="13"/>
      <c r="M713" s="399">
        <f>SUM(M714:M715)</f>
        <v>24097619.76498</v>
      </c>
    </row>
    <row r="714" spans="2:13" s="257" customFormat="1" ht="24" customHeight="1" x14ac:dyDescent="0.2">
      <c r="B714" s="251" t="s">
        <v>1925</v>
      </c>
      <c r="C714" s="631">
        <v>43829</v>
      </c>
      <c r="D714" s="226" t="s">
        <v>327</v>
      </c>
      <c r="E714" s="581" t="s">
        <v>1926</v>
      </c>
      <c r="F714" s="187" t="s">
        <v>1079</v>
      </c>
      <c r="G714" s="635" t="s">
        <v>1927</v>
      </c>
      <c r="H714" s="648" t="s">
        <v>1951</v>
      </c>
      <c r="I714" s="398" t="s">
        <v>963</v>
      </c>
      <c r="J714" s="230" t="s">
        <v>1035</v>
      </c>
      <c r="K714" s="436" t="s">
        <v>790</v>
      </c>
      <c r="L714" s="13">
        <v>20000000</v>
      </c>
      <c r="M714" s="5">
        <f>L714*1.204880988249</f>
        <v>24097619.76498</v>
      </c>
    </row>
    <row r="715" spans="2:13" s="257" customFormat="1" ht="12.75" customHeight="1" x14ac:dyDescent="0.2">
      <c r="B715" s="251"/>
      <c r="C715" s="631"/>
      <c r="D715" s="226"/>
      <c r="E715" s="581"/>
      <c r="F715" s="187"/>
      <c r="G715" s="635"/>
      <c r="H715" s="636"/>
      <c r="I715" s="398"/>
      <c r="J715" s="230"/>
      <c r="K715" s="436"/>
      <c r="L715" s="13"/>
      <c r="M715" s="5"/>
    </row>
    <row r="716" spans="2:13" s="257" customFormat="1" ht="24" customHeight="1" x14ac:dyDescent="0.2">
      <c r="B716" s="367" t="s">
        <v>555</v>
      </c>
      <c r="C716" s="631"/>
      <c r="D716" s="226"/>
      <c r="E716" s="581"/>
      <c r="F716" s="187"/>
      <c r="G716" s="635"/>
      <c r="H716" s="636"/>
      <c r="I716" s="398"/>
      <c r="J716" s="230"/>
      <c r="K716" s="436"/>
      <c r="L716" s="13"/>
      <c r="M716" s="649">
        <f>SUM(M717:M726)</f>
        <v>595124000</v>
      </c>
    </row>
    <row r="717" spans="2:13" s="257" customFormat="1" ht="105" customHeight="1" x14ac:dyDescent="0.2">
      <c r="B717" s="251" t="s">
        <v>1928</v>
      </c>
      <c r="C717" s="631" t="s">
        <v>1936</v>
      </c>
      <c r="D717" s="226" t="s">
        <v>55</v>
      </c>
      <c r="E717" s="581" t="s">
        <v>1937</v>
      </c>
      <c r="F717" s="187" t="s">
        <v>21</v>
      </c>
      <c r="G717" s="635" t="s">
        <v>1281</v>
      </c>
      <c r="H717" s="636" t="s">
        <v>1226</v>
      </c>
      <c r="I717" s="398" t="s">
        <v>1946</v>
      </c>
      <c r="J717" s="650" t="s">
        <v>1952</v>
      </c>
      <c r="K717" s="436" t="s">
        <v>552</v>
      </c>
      <c r="L717" s="13">
        <v>16800000</v>
      </c>
      <c r="M717" s="5">
        <f>L717</f>
        <v>16800000</v>
      </c>
    </row>
    <row r="718" spans="2:13" s="257" customFormat="1" ht="42.75" customHeight="1" x14ac:dyDescent="0.2">
      <c r="B718" s="251" t="s">
        <v>1929</v>
      </c>
      <c r="C718" s="631">
        <v>43783</v>
      </c>
      <c r="D718" s="226" t="s">
        <v>116</v>
      </c>
      <c r="E718" s="581" t="s">
        <v>1938</v>
      </c>
      <c r="F718" s="187" t="s">
        <v>380</v>
      </c>
      <c r="G718" s="635" t="s">
        <v>1939</v>
      </c>
      <c r="H718" s="636" t="s">
        <v>1923</v>
      </c>
      <c r="I718" s="398" t="s">
        <v>968</v>
      </c>
      <c r="J718" s="650" t="s">
        <v>1953</v>
      </c>
      <c r="K718" s="436" t="s">
        <v>552</v>
      </c>
      <c r="L718" s="13">
        <v>85000000</v>
      </c>
      <c r="M718" s="5">
        <f>+L718</f>
        <v>85000000</v>
      </c>
    </row>
    <row r="719" spans="2:13" s="257" customFormat="1" ht="51" customHeight="1" x14ac:dyDescent="0.2">
      <c r="B719" s="251" t="s">
        <v>1930</v>
      </c>
      <c r="C719" s="251">
        <v>43902</v>
      </c>
      <c r="D719" s="187" t="s">
        <v>116</v>
      </c>
      <c r="E719" s="581" t="s">
        <v>1973</v>
      </c>
      <c r="F719" s="187" t="s">
        <v>1081</v>
      </c>
      <c r="G719" s="635" t="s">
        <v>1940</v>
      </c>
      <c r="H719" s="398" t="s">
        <v>833</v>
      </c>
      <c r="I719" s="638" t="s">
        <v>1094</v>
      </c>
      <c r="J719" s="634" t="s">
        <v>1954</v>
      </c>
      <c r="K719" s="436" t="s">
        <v>552</v>
      </c>
      <c r="L719" s="234">
        <v>50000000</v>
      </c>
      <c r="M719" s="5">
        <f>+L719</f>
        <v>50000000</v>
      </c>
    </row>
    <row r="720" spans="2:13" s="257" customFormat="1" ht="51" customHeight="1" x14ac:dyDescent="0.2">
      <c r="B720" s="251" t="s">
        <v>1931</v>
      </c>
      <c r="C720" s="251">
        <v>43972</v>
      </c>
      <c r="D720" s="187" t="s">
        <v>116</v>
      </c>
      <c r="E720" s="581" t="s">
        <v>1974</v>
      </c>
      <c r="F720" s="187" t="s">
        <v>21</v>
      </c>
      <c r="G720" s="635" t="s">
        <v>1941</v>
      </c>
      <c r="H720" s="398" t="s">
        <v>833</v>
      </c>
      <c r="I720" s="638" t="s">
        <v>1097</v>
      </c>
      <c r="J720" s="634" t="s">
        <v>1955</v>
      </c>
      <c r="K720" s="436" t="s">
        <v>552</v>
      </c>
      <c r="L720" s="234">
        <v>93000000</v>
      </c>
      <c r="M720" s="5">
        <f>+L720</f>
        <v>93000000</v>
      </c>
    </row>
    <row r="721" spans="2:13" s="257" customFormat="1" ht="54.75" customHeight="1" x14ac:dyDescent="0.2">
      <c r="B721" s="251" t="s">
        <v>1932</v>
      </c>
      <c r="C721" s="251">
        <v>43979</v>
      </c>
      <c r="D721" s="187" t="s">
        <v>288</v>
      </c>
      <c r="E721" s="581" t="s">
        <v>1975</v>
      </c>
      <c r="F721" s="187" t="s">
        <v>11</v>
      </c>
      <c r="G721" s="635" t="s">
        <v>1942</v>
      </c>
      <c r="H721" s="398" t="s">
        <v>833</v>
      </c>
      <c r="I721" s="638" t="s">
        <v>916</v>
      </c>
      <c r="J721" s="634" t="s">
        <v>1956</v>
      </c>
      <c r="K721" s="436" t="s">
        <v>552</v>
      </c>
      <c r="L721" s="234">
        <v>24000000</v>
      </c>
      <c r="M721" s="5">
        <f>+L721</f>
        <v>24000000</v>
      </c>
    </row>
    <row r="722" spans="2:13" s="257" customFormat="1" ht="46.5" customHeight="1" x14ac:dyDescent="0.2">
      <c r="B722" s="251" t="s">
        <v>1933</v>
      </c>
      <c r="C722" s="251">
        <v>44009</v>
      </c>
      <c r="D722" s="187" t="s">
        <v>116</v>
      </c>
      <c r="E722" s="581" t="s">
        <v>1976</v>
      </c>
      <c r="F722" s="187" t="s">
        <v>21</v>
      </c>
      <c r="G722" s="635" t="s">
        <v>1943</v>
      </c>
      <c r="H722" s="398" t="s">
        <v>833</v>
      </c>
      <c r="I722" s="638" t="s">
        <v>967</v>
      </c>
      <c r="J722" s="634" t="s">
        <v>1957</v>
      </c>
      <c r="K722" s="436" t="s">
        <v>552</v>
      </c>
      <c r="L722" s="234">
        <v>36324000</v>
      </c>
      <c r="M722" s="5">
        <v>36324000</v>
      </c>
    </row>
    <row r="723" spans="2:13" s="257" customFormat="1" ht="62.25" customHeight="1" x14ac:dyDescent="0.2">
      <c r="B723" s="251" t="s">
        <v>1934</v>
      </c>
      <c r="C723" s="251">
        <v>44009</v>
      </c>
      <c r="D723" s="187" t="s">
        <v>55</v>
      </c>
      <c r="E723" s="581" t="s">
        <v>1977</v>
      </c>
      <c r="F723" s="187" t="s">
        <v>88</v>
      </c>
      <c r="G723" s="635" t="s">
        <v>1944</v>
      </c>
      <c r="H723" s="398" t="s">
        <v>833</v>
      </c>
      <c r="I723" s="638" t="s">
        <v>1229</v>
      </c>
      <c r="J723" s="634" t="s">
        <v>1958</v>
      </c>
      <c r="K723" s="436" t="s">
        <v>552</v>
      </c>
      <c r="L723" s="234">
        <v>100000000</v>
      </c>
      <c r="M723" s="5">
        <v>100000000</v>
      </c>
    </row>
    <row r="724" spans="2:13" s="257" customFormat="1" ht="38.25" x14ac:dyDescent="0.2">
      <c r="B724" s="251" t="s">
        <v>1935</v>
      </c>
      <c r="C724" s="251">
        <v>44013</v>
      </c>
      <c r="D724" s="187" t="s">
        <v>55</v>
      </c>
      <c r="E724" s="581" t="s">
        <v>1978</v>
      </c>
      <c r="F724" s="187" t="s">
        <v>380</v>
      </c>
      <c r="G724" s="635" t="s">
        <v>1945</v>
      </c>
      <c r="H724" s="398" t="s">
        <v>833</v>
      </c>
      <c r="I724" s="638" t="s">
        <v>909</v>
      </c>
      <c r="J724" s="634" t="s">
        <v>1959</v>
      </c>
      <c r="K724" s="436" t="s">
        <v>552</v>
      </c>
      <c r="L724" s="234">
        <v>100000000</v>
      </c>
      <c r="M724" s="5">
        <v>100000000</v>
      </c>
    </row>
    <row r="725" spans="2:13" s="257" customFormat="1" ht="26.25" customHeight="1" x14ac:dyDescent="0.2">
      <c r="B725" s="251" t="s">
        <v>1947</v>
      </c>
      <c r="C725" s="251">
        <v>43902</v>
      </c>
      <c r="D725" s="187" t="s">
        <v>55</v>
      </c>
      <c r="E725" s="581" t="s">
        <v>1979</v>
      </c>
      <c r="F725" s="187" t="s">
        <v>1079</v>
      </c>
      <c r="G725" s="635" t="s">
        <v>1950</v>
      </c>
      <c r="H725" s="398" t="s">
        <v>833</v>
      </c>
      <c r="I725" s="638" t="s">
        <v>1100</v>
      </c>
      <c r="J725" s="634" t="s">
        <v>1960</v>
      </c>
      <c r="K725" s="436" t="s">
        <v>552</v>
      </c>
      <c r="L725" s="234">
        <v>50000000</v>
      </c>
      <c r="M725" s="5">
        <v>50000000</v>
      </c>
    </row>
    <row r="726" spans="2:13" s="257" customFormat="1" ht="39.75" customHeight="1" x14ac:dyDescent="0.2">
      <c r="B726" s="251" t="s">
        <v>1948</v>
      </c>
      <c r="C726" s="631">
        <v>43808</v>
      </c>
      <c r="D726" s="226" t="s">
        <v>55</v>
      </c>
      <c r="E726" s="581" t="s">
        <v>1949</v>
      </c>
      <c r="F726" s="187" t="s">
        <v>2017</v>
      </c>
      <c r="G726" s="635" t="s">
        <v>887</v>
      </c>
      <c r="H726" s="636" t="s">
        <v>1226</v>
      </c>
      <c r="I726" s="398" t="s">
        <v>1101</v>
      </c>
      <c r="J726" s="650" t="s">
        <v>1961</v>
      </c>
      <c r="K726" s="436" t="s">
        <v>552</v>
      </c>
      <c r="L726" s="13">
        <v>40000000</v>
      </c>
      <c r="M726" s="5">
        <v>40000000</v>
      </c>
    </row>
    <row r="727" spans="2:13" s="257" customFormat="1" ht="24" customHeight="1" thickBot="1" x14ac:dyDescent="0.25">
      <c r="B727" s="301"/>
      <c r="C727" s="643"/>
      <c r="D727" s="301"/>
      <c r="E727" s="644"/>
      <c r="F727" s="221"/>
      <c r="G727" s="301"/>
      <c r="H727" s="645"/>
      <c r="I727" s="303"/>
      <c r="J727" s="646"/>
      <c r="K727" s="647"/>
      <c r="L727" s="372"/>
      <c r="M727" s="373"/>
    </row>
    <row r="728" spans="2:13" s="257" customFormat="1" ht="13.5" customHeight="1" thickTop="1" x14ac:dyDescent="0.2">
      <c r="B728" s="374"/>
      <c r="C728" s="400"/>
      <c r="D728" s="436"/>
      <c r="E728" s="589"/>
      <c r="F728" s="226"/>
      <c r="G728" s="397"/>
      <c r="H728" s="393"/>
      <c r="I728" s="394"/>
      <c r="J728" s="395"/>
      <c r="K728" s="436"/>
      <c r="L728" s="13"/>
      <c r="M728" s="5"/>
    </row>
    <row r="729" spans="2:13" s="257" customFormat="1" ht="24" customHeight="1" x14ac:dyDescent="0.2">
      <c r="B729" s="381">
        <v>2020</v>
      </c>
      <c r="C729" s="396"/>
      <c r="D729" s="226"/>
      <c r="E729" s="589"/>
      <c r="F729" s="226"/>
      <c r="G729" s="397"/>
      <c r="H729" s="393"/>
      <c r="I729" s="394"/>
      <c r="J729" s="395"/>
      <c r="K729" s="436"/>
      <c r="L729" s="13"/>
      <c r="M729" s="321">
        <f>+M731+M734</f>
        <v>523271016.68000001</v>
      </c>
    </row>
    <row r="730" spans="2:13" s="257" customFormat="1" ht="14.25" customHeight="1" x14ac:dyDescent="0.2">
      <c r="B730" s="381"/>
      <c r="C730" s="396"/>
      <c r="D730" s="226"/>
      <c r="E730" s="589"/>
      <c r="F730" s="226"/>
      <c r="G730" s="397"/>
      <c r="H730" s="393"/>
      <c r="I730" s="394"/>
      <c r="J730" s="395"/>
      <c r="K730" s="436"/>
      <c r="L730" s="13"/>
      <c r="M730" s="5"/>
    </row>
    <row r="731" spans="2:13" s="257" customFormat="1" ht="24" customHeight="1" x14ac:dyDescent="0.2">
      <c r="B731" s="363" t="s">
        <v>701</v>
      </c>
      <c r="C731" s="631"/>
      <c r="D731" s="226"/>
      <c r="E731" s="581"/>
      <c r="F731" s="226"/>
      <c r="G731" s="632"/>
      <c r="H731" s="398"/>
      <c r="I731" s="633"/>
      <c r="J731" s="634"/>
      <c r="K731" s="436"/>
      <c r="L731" s="13"/>
      <c r="M731" s="399">
        <f>SUM(M732:M733)</f>
        <v>65655190.68</v>
      </c>
    </row>
    <row r="732" spans="2:13" s="257" customFormat="1" ht="25.5" x14ac:dyDescent="0.2">
      <c r="B732" s="251" t="s">
        <v>2002</v>
      </c>
      <c r="C732" s="631">
        <v>44310</v>
      </c>
      <c r="D732" s="226" t="s">
        <v>327</v>
      </c>
      <c r="E732" s="581" t="s">
        <v>1985</v>
      </c>
      <c r="F732" s="187" t="s">
        <v>11</v>
      </c>
      <c r="G732" s="635" t="s">
        <v>1995</v>
      </c>
      <c r="H732" s="648" t="s">
        <v>2003</v>
      </c>
      <c r="I732" s="398" t="s">
        <v>1993</v>
      </c>
      <c r="J732" s="230" t="s">
        <v>965</v>
      </c>
      <c r="K732" s="436" t="s">
        <v>1994</v>
      </c>
      <c r="L732" s="13">
        <v>54000000</v>
      </c>
      <c r="M732" s="5">
        <f>ROUND(+L732*1.215836864407,2)</f>
        <v>65655190.68</v>
      </c>
    </row>
    <row r="733" spans="2:13" s="257" customFormat="1" ht="12" customHeight="1" x14ac:dyDescent="0.2">
      <c r="B733" s="251"/>
      <c r="C733" s="631"/>
      <c r="D733" s="226"/>
      <c r="E733" s="581"/>
      <c r="F733" s="187"/>
      <c r="G733" s="635"/>
      <c r="H733" s="636"/>
      <c r="I733" s="398"/>
      <c r="J733" s="230"/>
      <c r="K733" s="436"/>
      <c r="L733" s="13"/>
      <c r="M733" s="5"/>
    </row>
    <row r="734" spans="2:13" s="257" customFormat="1" ht="24" customHeight="1" x14ac:dyDescent="0.2">
      <c r="B734" s="363" t="s">
        <v>555</v>
      </c>
      <c r="C734" s="631"/>
      <c r="D734" s="226"/>
      <c r="E734" s="581"/>
      <c r="F734" s="187"/>
      <c r="G734" s="635"/>
      <c r="H734" s="636"/>
      <c r="I734" s="398"/>
      <c r="J734" s="230"/>
      <c r="K734" s="436"/>
      <c r="L734" s="13"/>
      <c r="M734" s="649">
        <f>SUM(M735:M741)</f>
        <v>457615826</v>
      </c>
    </row>
    <row r="735" spans="2:13" s="257" customFormat="1" ht="75.75" customHeight="1" x14ac:dyDescent="0.2">
      <c r="B735" s="251" t="s">
        <v>1980</v>
      </c>
      <c r="C735" s="631">
        <v>44238</v>
      </c>
      <c r="D735" s="226" t="s">
        <v>55</v>
      </c>
      <c r="E735" s="581" t="s">
        <v>1984</v>
      </c>
      <c r="F735" s="187" t="s">
        <v>1990</v>
      </c>
      <c r="G735" s="635" t="s">
        <v>1999</v>
      </c>
      <c r="H735" s="636" t="s">
        <v>1226</v>
      </c>
      <c r="I735" s="398" t="s">
        <v>623</v>
      </c>
      <c r="J735" s="650" t="s">
        <v>2004</v>
      </c>
      <c r="K735" s="436" t="s">
        <v>18</v>
      </c>
      <c r="L735" s="13">
        <v>30000000</v>
      </c>
      <c r="M735" s="5">
        <f>+L735</f>
        <v>30000000</v>
      </c>
    </row>
    <row r="736" spans="2:13" s="257" customFormat="1" ht="81" customHeight="1" x14ac:dyDescent="0.2">
      <c r="B736" s="251" t="s">
        <v>1980</v>
      </c>
      <c r="C736" s="631">
        <v>44238</v>
      </c>
      <c r="D736" s="226" t="s">
        <v>277</v>
      </c>
      <c r="E736" s="581" t="s">
        <v>1984</v>
      </c>
      <c r="F736" s="187" t="s">
        <v>1990</v>
      </c>
      <c r="G736" s="635" t="s">
        <v>2000</v>
      </c>
      <c r="H736" s="636" t="s">
        <v>1991</v>
      </c>
      <c r="I736" s="398" t="s">
        <v>1993</v>
      </c>
      <c r="J736" s="650" t="s">
        <v>909</v>
      </c>
      <c r="K736" s="436" t="s">
        <v>18</v>
      </c>
      <c r="L736" s="13">
        <v>10000000</v>
      </c>
      <c r="M736" s="5">
        <f>+L736</f>
        <v>10000000</v>
      </c>
    </row>
    <row r="737" spans="2:13" s="257" customFormat="1" ht="39.75" customHeight="1" x14ac:dyDescent="0.2">
      <c r="B737" s="251" t="s">
        <v>1981</v>
      </c>
      <c r="C737" s="631">
        <v>44322</v>
      </c>
      <c r="D737" s="226" t="s">
        <v>55</v>
      </c>
      <c r="E737" s="581" t="s">
        <v>1986</v>
      </c>
      <c r="F737" s="187" t="s">
        <v>735</v>
      </c>
      <c r="G737" s="635" t="s">
        <v>1996</v>
      </c>
      <c r="H737" s="636" t="s">
        <v>1226</v>
      </c>
      <c r="I737" s="398" t="s">
        <v>623</v>
      </c>
      <c r="J737" s="650" t="s">
        <v>2005</v>
      </c>
      <c r="K737" s="436" t="s">
        <v>18</v>
      </c>
      <c r="L737" s="13">
        <v>114300000</v>
      </c>
      <c r="M737" s="5">
        <f t="shared" ref="M737:M740" si="4">+L737</f>
        <v>114300000</v>
      </c>
    </row>
    <row r="738" spans="2:13" s="257" customFormat="1" ht="45" customHeight="1" x14ac:dyDescent="0.2">
      <c r="B738" s="251" t="s">
        <v>1981</v>
      </c>
      <c r="C738" s="631">
        <v>44322</v>
      </c>
      <c r="D738" s="226" t="s">
        <v>97</v>
      </c>
      <c r="E738" s="581" t="s">
        <v>1986</v>
      </c>
      <c r="F738" s="187" t="s">
        <v>735</v>
      </c>
      <c r="G738" s="635" t="s">
        <v>1996</v>
      </c>
      <c r="H738" s="636" t="s">
        <v>1992</v>
      </c>
      <c r="I738" s="398" t="s">
        <v>968</v>
      </c>
      <c r="J738" s="650" t="s">
        <v>997</v>
      </c>
      <c r="K738" s="436" t="s">
        <v>18</v>
      </c>
      <c r="L738" s="13">
        <v>233315826</v>
      </c>
      <c r="M738" s="5">
        <f t="shared" si="4"/>
        <v>233315826</v>
      </c>
    </row>
    <row r="739" spans="2:13" s="257" customFormat="1" ht="52.5" customHeight="1" x14ac:dyDescent="0.2">
      <c r="B739" s="251" t="s">
        <v>1982</v>
      </c>
      <c r="C739" s="631">
        <v>44343</v>
      </c>
      <c r="D739" s="226" t="s">
        <v>55</v>
      </c>
      <c r="E739" s="581" t="s">
        <v>1987</v>
      </c>
      <c r="F739" s="187" t="s">
        <v>735</v>
      </c>
      <c r="G739" s="635" t="s">
        <v>1997</v>
      </c>
      <c r="H739" s="636">
        <v>7.4999999999999997E-3</v>
      </c>
      <c r="I739" s="398" t="s">
        <v>623</v>
      </c>
      <c r="J739" s="650" t="s">
        <v>909</v>
      </c>
      <c r="K739" s="436" t="s">
        <v>18</v>
      </c>
      <c r="L739" s="13">
        <v>9500000</v>
      </c>
      <c r="M739" s="5">
        <f t="shared" si="4"/>
        <v>9500000</v>
      </c>
    </row>
    <row r="740" spans="2:13" s="257" customFormat="1" ht="42.75" customHeight="1" x14ac:dyDescent="0.2">
      <c r="B740" s="251" t="s">
        <v>1982</v>
      </c>
      <c r="C740" s="631">
        <v>44343</v>
      </c>
      <c r="D740" s="226" t="s">
        <v>55</v>
      </c>
      <c r="E740" s="581" t="s">
        <v>1988</v>
      </c>
      <c r="F740" s="187" t="s">
        <v>735</v>
      </c>
      <c r="G740" s="635" t="s">
        <v>1997</v>
      </c>
      <c r="H740" s="636" t="s">
        <v>1226</v>
      </c>
      <c r="I740" s="398" t="s">
        <v>623</v>
      </c>
      <c r="J740" s="650" t="s">
        <v>2006</v>
      </c>
      <c r="K740" s="436" t="s">
        <v>18</v>
      </c>
      <c r="L740" s="13">
        <v>10500000</v>
      </c>
      <c r="M740" s="5">
        <f t="shared" si="4"/>
        <v>10500000</v>
      </c>
    </row>
    <row r="741" spans="2:13" s="257" customFormat="1" ht="38.25" customHeight="1" x14ac:dyDescent="0.2">
      <c r="B741" s="251" t="s">
        <v>1983</v>
      </c>
      <c r="C741" s="251">
        <v>44162</v>
      </c>
      <c r="D741" s="187" t="s">
        <v>116</v>
      </c>
      <c r="E741" s="581" t="s">
        <v>1989</v>
      </c>
      <c r="F741" s="187" t="s">
        <v>1079</v>
      </c>
      <c r="G741" s="635" t="s">
        <v>1998</v>
      </c>
      <c r="H741" s="398" t="s">
        <v>833</v>
      </c>
      <c r="I741" s="638" t="s">
        <v>1097</v>
      </c>
      <c r="J741" s="672" t="s">
        <v>2007</v>
      </c>
      <c r="K741" s="436" t="s">
        <v>552</v>
      </c>
      <c r="L741" s="234">
        <v>50000000</v>
      </c>
      <c r="M741" s="5">
        <v>50000000</v>
      </c>
    </row>
    <row r="742" spans="2:13" s="257" customFormat="1" ht="24" customHeight="1" thickBot="1" x14ac:dyDescent="0.25">
      <c r="B742" s="301"/>
      <c r="C742" s="643"/>
      <c r="D742" s="301"/>
      <c r="E742" s="644"/>
      <c r="F742" s="221"/>
      <c r="G742" s="301"/>
      <c r="H742" s="645"/>
      <c r="I742" s="303"/>
      <c r="J742" s="646"/>
      <c r="K742" s="647"/>
      <c r="L742" s="372"/>
      <c r="M742" s="373"/>
    </row>
    <row r="743" spans="2:13" s="257" customFormat="1" ht="24" customHeight="1" thickTop="1" x14ac:dyDescent="0.2">
      <c r="B743" s="314"/>
      <c r="C743" s="400"/>
      <c r="D743" s="314"/>
      <c r="E743" s="587"/>
      <c r="F743" s="219"/>
      <c r="G743" s="314"/>
      <c r="H743" s="375"/>
      <c r="I743" s="314"/>
      <c r="J743" s="376"/>
      <c r="K743" s="437"/>
      <c r="L743" s="342"/>
      <c r="M743" s="518"/>
    </row>
    <row r="744" spans="2:13" s="257" customFormat="1" ht="24" customHeight="1" x14ac:dyDescent="0.2">
      <c r="B744" s="314"/>
      <c r="C744" s="400"/>
      <c r="D744" s="314"/>
      <c r="E744" s="587"/>
      <c r="F744" s="219"/>
      <c r="G744" s="314"/>
      <c r="H744" s="375"/>
      <c r="I744" s="314"/>
      <c r="J744" s="376"/>
      <c r="K744" s="437"/>
      <c r="L744" s="342"/>
      <c r="M744" s="518"/>
    </row>
    <row r="745" spans="2:13" s="257" customFormat="1" ht="24" customHeight="1" x14ac:dyDescent="0.2">
      <c r="B745" s="314"/>
      <c r="C745" s="400"/>
      <c r="D745" s="314"/>
      <c r="E745" s="587"/>
      <c r="F745" s="219"/>
      <c r="G745" s="314"/>
      <c r="H745" s="375"/>
      <c r="I745" s="314"/>
      <c r="J745" s="376"/>
      <c r="K745" s="437"/>
      <c r="L745" s="342"/>
      <c r="M745" s="518"/>
    </row>
    <row r="746" spans="2:13" s="257" customFormat="1" x14ac:dyDescent="0.2">
      <c r="B746" s="401" t="s">
        <v>704</v>
      </c>
      <c r="C746" s="402"/>
      <c r="D746" s="316"/>
      <c r="E746" s="549"/>
      <c r="F746" s="316"/>
      <c r="G746" s="316"/>
      <c r="H746" s="403"/>
      <c r="I746" s="403"/>
      <c r="J746" s="403"/>
      <c r="K746" s="403"/>
      <c r="L746" s="404"/>
      <c r="M746" s="404"/>
    </row>
    <row r="747" spans="2:13" s="257" customFormat="1" x14ac:dyDescent="0.2">
      <c r="B747" s="401" t="s">
        <v>1648</v>
      </c>
      <c r="C747" s="402"/>
      <c r="D747" s="316"/>
      <c r="E747" s="549"/>
      <c r="F747" s="316"/>
      <c r="G747" s="316"/>
      <c r="H747" s="403"/>
      <c r="I747" s="403"/>
      <c r="J747" s="403"/>
      <c r="K747" s="403"/>
      <c r="L747" s="404"/>
      <c r="M747" s="404"/>
    </row>
    <row r="748" spans="2:13" s="257" customFormat="1" x14ac:dyDescent="0.2">
      <c r="B748" s="405" t="s">
        <v>820</v>
      </c>
      <c r="C748" s="402"/>
      <c r="D748" s="316"/>
      <c r="E748" s="549"/>
      <c r="F748" s="316"/>
      <c r="G748" s="316"/>
      <c r="H748" s="403"/>
      <c r="I748" s="403"/>
      <c r="J748" s="403"/>
      <c r="K748" s="403"/>
      <c r="L748" s="404"/>
      <c r="M748" s="404"/>
    </row>
    <row r="749" spans="2:13" s="257" customFormat="1" x14ac:dyDescent="0.2">
      <c r="B749" s="406" t="s">
        <v>821</v>
      </c>
      <c r="C749" s="402"/>
      <c r="D749" s="316"/>
      <c r="E749" s="549"/>
      <c r="F749" s="316"/>
      <c r="G749" s="316"/>
      <c r="H749" s="403"/>
      <c r="I749" s="403"/>
      <c r="J749" s="403"/>
      <c r="K749" s="403"/>
      <c r="L749" s="404"/>
      <c r="M749" s="404"/>
    </row>
    <row r="750" spans="2:13" s="257" customFormat="1" x14ac:dyDescent="0.2">
      <c r="B750" s="405" t="s">
        <v>845</v>
      </c>
      <c r="C750" s="407"/>
      <c r="D750" s="219"/>
      <c r="E750" s="580"/>
      <c r="F750" s="316"/>
      <c r="G750" s="316"/>
      <c r="H750" s="403"/>
      <c r="I750" s="403"/>
      <c r="J750" s="403"/>
      <c r="K750" s="403"/>
      <c r="L750" s="404"/>
      <c r="M750" s="404"/>
    </row>
    <row r="751" spans="2:13" s="257" customFormat="1" x14ac:dyDescent="0.2">
      <c r="B751" s="408" t="s">
        <v>864</v>
      </c>
      <c r="C751" s="402"/>
      <c r="D751" s="316"/>
      <c r="E751" s="549"/>
      <c r="F751" s="316"/>
      <c r="G751" s="316"/>
      <c r="H751" s="403"/>
      <c r="I751" s="403"/>
      <c r="J751" s="403"/>
      <c r="K751" s="403"/>
      <c r="L751" s="404"/>
      <c r="M751" s="404"/>
    </row>
    <row r="752" spans="2:13" s="257" customFormat="1" x14ac:dyDescent="0.2">
      <c r="B752" s="406" t="s">
        <v>846</v>
      </c>
      <c r="C752" s="402"/>
      <c r="D752" s="316"/>
      <c r="E752" s="549"/>
      <c r="F752" s="316"/>
      <c r="G752" s="316"/>
      <c r="H752" s="403"/>
      <c r="I752" s="403"/>
      <c r="J752" s="403"/>
      <c r="K752" s="403"/>
      <c r="L752" s="404"/>
      <c r="M752" s="404"/>
    </row>
    <row r="753" spans="2:13" s="257" customFormat="1" x14ac:dyDescent="0.2">
      <c r="B753" s="405" t="s">
        <v>847</v>
      </c>
      <c r="C753" s="402"/>
      <c r="D753" s="316"/>
      <c r="E753" s="549"/>
      <c r="F753" s="316"/>
      <c r="G753" s="316"/>
      <c r="H753" s="403"/>
      <c r="I753" s="403"/>
      <c r="J753" s="403"/>
      <c r="K753" s="403"/>
      <c r="L753" s="404"/>
      <c r="M753" s="404"/>
    </row>
    <row r="754" spans="2:13" s="257" customFormat="1" x14ac:dyDescent="0.2">
      <c r="B754" s="406" t="s">
        <v>848</v>
      </c>
      <c r="C754" s="402"/>
      <c r="D754" s="316"/>
      <c r="E754" s="549"/>
      <c r="F754" s="316"/>
      <c r="G754" s="316"/>
      <c r="H754" s="403"/>
      <c r="I754" s="403"/>
      <c r="J754" s="403"/>
      <c r="K754" s="403"/>
      <c r="L754" s="404"/>
      <c r="M754" s="404"/>
    </row>
    <row r="755" spans="2:13" s="257" customFormat="1" x14ac:dyDescent="0.2">
      <c r="B755" s="406" t="s">
        <v>849</v>
      </c>
      <c r="C755" s="402"/>
      <c r="D755" s="316"/>
      <c r="E755" s="549"/>
      <c r="F755" s="316"/>
      <c r="G755" s="316"/>
      <c r="H755" s="403"/>
      <c r="I755" s="403"/>
      <c r="J755" s="403"/>
      <c r="K755" s="403"/>
      <c r="L755" s="404"/>
      <c r="M755" s="404"/>
    </row>
    <row r="756" spans="2:13" s="257" customFormat="1" x14ac:dyDescent="0.2">
      <c r="B756" s="405" t="s">
        <v>850</v>
      </c>
      <c r="C756" s="402"/>
      <c r="D756" s="316"/>
      <c r="E756" s="549"/>
      <c r="F756" s="316"/>
      <c r="G756" s="316"/>
      <c r="H756" s="403"/>
      <c r="I756" s="403"/>
      <c r="J756" s="403"/>
      <c r="K756" s="403"/>
      <c r="L756" s="404"/>
      <c r="M756" s="404"/>
    </row>
    <row r="757" spans="2:13" s="257" customFormat="1" x14ac:dyDescent="0.2">
      <c r="B757" s="406" t="s">
        <v>895</v>
      </c>
      <c r="C757" s="402"/>
      <c r="D757" s="316"/>
      <c r="E757" s="549"/>
      <c r="F757" s="316"/>
      <c r="G757" s="316"/>
      <c r="H757" s="403"/>
      <c r="I757" s="403"/>
      <c r="J757" s="403"/>
      <c r="K757" s="403"/>
      <c r="L757" s="404"/>
      <c r="M757" s="404"/>
    </row>
    <row r="758" spans="2:13" s="257" customFormat="1" x14ac:dyDescent="0.2">
      <c r="B758" s="405" t="s">
        <v>858</v>
      </c>
      <c r="C758" s="407"/>
      <c r="D758" s="219"/>
      <c r="E758" s="580"/>
      <c r="F758" s="219"/>
      <c r="G758" s="219"/>
      <c r="H758" s="409"/>
      <c r="I758" s="219"/>
      <c r="J758" s="219"/>
      <c r="K758" s="247"/>
      <c r="L758" s="313"/>
      <c r="M758" s="410"/>
    </row>
    <row r="759" spans="2:13" s="257" customFormat="1" x14ac:dyDescent="0.2">
      <c r="B759" s="157" t="s">
        <v>796</v>
      </c>
      <c r="C759" s="407"/>
      <c r="D759" s="219"/>
      <c r="E759" s="580"/>
      <c r="F759" s="219"/>
      <c r="G759" s="219"/>
      <c r="H759" s="409"/>
      <c r="I759" s="219"/>
      <c r="J759" s="219"/>
      <c r="K759" s="247"/>
      <c r="L759" s="313"/>
      <c r="M759" s="410"/>
    </row>
    <row r="760" spans="2:13" s="257" customFormat="1" x14ac:dyDescent="0.2">
      <c r="B760" s="405" t="s">
        <v>859</v>
      </c>
      <c r="C760" s="407"/>
      <c r="D760" s="219"/>
      <c r="E760" s="580"/>
      <c r="F760" s="219"/>
      <c r="G760" s="219"/>
      <c r="H760" s="220"/>
      <c r="I760" s="219"/>
      <c r="J760" s="219"/>
      <c r="K760" s="247"/>
      <c r="L760" s="411"/>
      <c r="M760" s="412"/>
    </row>
    <row r="761" spans="2:13" s="257" customFormat="1" x14ac:dyDescent="0.2">
      <c r="B761" s="157" t="s">
        <v>797</v>
      </c>
      <c r="C761" s="219"/>
      <c r="D761" s="219"/>
      <c r="E761" s="580"/>
      <c r="F761" s="220"/>
      <c r="G761" s="219"/>
      <c r="H761" s="313"/>
      <c r="I761" s="247"/>
      <c r="J761" s="410"/>
      <c r="K761" s="413"/>
      <c r="L761" s="344"/>
      <c r="M761" s="247"/>
    </row>
    <row r="762" spans="2:13" s="257" customFormat="1" x14ac:dyDescent="0.2">
      <c r="B762" s="157" t="s">
        <v>798</v>
      </c>
      <c r="C762" s="316"/>
      <c r="D762" s="316"/>
      <c r="E762" s="549"/>
      <c r="F762" s="316"/>
      <c r="G762" s="316"/>
      <c r="H762" s="157"/>
      <c r="I762" s="157"/>
      <c r="J762" s="157"/>
      <c r="K762" s="413"/>
      <c r="L762" s="344"/>
      <c r="M762" s="247"/>
    </row>
    <row r="763" spans="2:13" s="257" customFormat="1" x14ac:dyDescent="0.2">
      <c r="B763" s="157" t="s">
        <v>799</v>
      </c>
      <c r="C763" s="316"/>
      <c r="D763" s="316"/>
      <c r="E763" s="549"/>
      <c r="F763" s="316"/>
      <c r="G763" s="316"/>
      <c r="H763" s="157"/>
      <c r="I763" s="157"/>
      <c r="J763" s="157"/>
      <c r="K763" s="413"/>
      <c r="L763" s="344"/>
      <c r="M763" s="247"/>
    </row>
    <row r="764" spans="2:13" s="257" customFormat="1" x14ac:dyDescent="0.2">
      <c r="B764" s="157" t="s">
        <v>800</v>
      </c>
      <c r="C764" s="316"/>
      <c r="D764" s="316"/>
      <c r="E764" s="549"/>
      <c r="F764" s="316"/>
      <c r="G764" s="316"/>
      <c r="H764" s="157"/>
      <c r="I764" s="157"/>
      <c r="J764" s="157"/>
      <c r="K764" s="413"/>
      <c r="L764" s="344"/>
      <c r="M764" s="247"/>
    </row>
    <row r="765" spans="2:13" s="257" customFormat="1" x14ac:dyDescent="0.2">
      <c r="B765" s="405" t="s">
        <v>860</v>
      </c>
      <c r="C765" s="157"/>
      <c r="D765" s="316"/>
      <c r="E765" s="549"/>
      <c r="F765" s="316"/>
      <c r="G765" s="316"/>
      <c r="H765" s="157"/>
      <c r="I765" s="157"/>
      <c r="J765" s="157"/>
      <c r="K765" s="413"/>
      <c r="L765" s="344"/>
      <c r="M765" s="247"/>
    </row>
    <row r="766" spans="2:13" s="257" customFormat="1" x14ac:dyDescent="0.2">
      <c r="B766" s="405" t="s">
        <v>861</v>
      </c>
      <c r="C766" s="157"/>
      <c r="D766" s="316"/>
      <c r="E766" s="549"/>
      <c r="F766" s="316"/>
      <c r="G766" s="316"/>
      <c r="H766" s="157"/>
      <c r="I766" s="157"/>
      <c r="J766" s="157"/>
      <c r="K766" s="413"/>
      <c r="L766" s="344"/>
      <c r="M766" s="247"/>
    </row>
    <row r="767" spans="2:13" s="257" customFormat="1" x14ac:dyDescent="0.2">
      <c r="B767" s="405" t="s">
        <v>1664</v>
      </c>
      <c r="C767" s="414"/>
      <c r="D767" s="219"/>
      <c r="E767" s="590"/>
      <c r="F767" s="220"/>
      <c r="G767" s="219"/>
      <c r="H767" s="313"/>
      <c r="I767" s="247"/>
      <c r="J767" s="410"/>
      <c r="K767" s="413"/>
      <c r="L767" s="344"/>
      <c r="M767" s="247"/>
    </row>
    <row r="768" spans="2:13" s="257" customFormat="1" x14ac:dyDescent="0.2">
      <c r="B768" s="405" t="s">
        <v>1665</v>
      </c>
      <c r="C768" s="414"/>
      <c r="D768" s="219"/>
      <c r="E768" s="590"/>
      <c r="F768" s="220"/>
      <c r="G768" s="219"/>
      <c r="H768" s="313"/>
      <c r="I768" s="247"/>
      <c r="J768" s="410"/>
      <c r="K768" s="413"/>
      <c r="L768" s="344"/>
      <c r="M768" s="247"/>
    </row>
    <row r="769" spans="2:13" s="257" customFormat="1" x14ac:dyDescent="0.2">
      <c r="B769" s="405" t="s">
        <v>1666</v>
      </c>
      <c r="C769" s="414"/>
      <c r="D769" s="219"/>
      <c r="E769" s="590"/>
      <c r="F769" s="220"/>
      <c r="G769" s="219"/>
      <c r="H769" s="313"/>
      <c r="I769" s="247"/>
      <c r="J769" s="410"/>
      <c r="K769" s="413"/>
      <c r="L769" s="344"/>
      <c r="M769" s="247"/>
    </row>
    <row r="770" spans="2:13" s="257" customFormat="1" x14ac:dyDescent="0.2">
      <c r="B770" s="405" t="s">
        <v>1667</v>
      </c>
      <c r="C770" s="414"/>
      <c r="D770" s="219"/>
      <c r="E770" s="590"/>
      <c r="F770" s="220"/>
      <c r="G770" s="219"/>
      <c r="H770" s="313"/>
      <c r="I770" s="247"/>
      <c r="J770" s="410"/>
      <c r="K770" s="413"/>
      <c r="L770" s="344"/>
      <c r="M770" s="247"/>
    </row>
    <row r="771" spans="2:13" s="257" customFormat="1" x14ac:dyDescent="0.2">
      <c r="B771" s="405" t="s">
        <v>1668</v>
      </c>
      <c r="C771" s="414"/>
      <c r="D771" s="219"/>
      <c r="E771" s="590"/>
      <c r="F771" s="220"/>
      <c r="G771" s="219"/>
      <c r="H771" s="313"/>
      <c r="I771" s="247"/>
      <c r="J771" s="410"/>
      <c r="K771" s="413"/>
      <c r="L771" s="344"/>
      <c r="M771" s="247"/>
    </row>
    <row r="772" spans="2:13" s="257" customFormat="1" x14ac:dyDescent="0.2">
      <c r="B772" s="415" t="s">
        <v>1640</v>
      </c>
      <c r="C772" s="414"/>
      <c r="D772" s="219"/>
      <c r="E772" s="590"/>
      <c r="F772" s="220"/>
      <c r="G772" s="219"/>
      <c r="H772" s="313"/>
      <c r="I772" s="247"/>
      <c r="J772" s="410"/>
      <c r="K772" s="413"/>
      <c r="L772" s="344"/>
      <c r="M772" s="247"/>
    </row>
    <row r="773" spans="2:13" s="257" customFormat="1" x14ac:dyDescent="0.2">
      <c r="B773" s="415" t="s">
        <v>851</v>
      </c>
      <c r="C773" s="414"/>
      <c r="D773" s="219"/>
      <c r="E773" s="590"/>
      <c r="F773" s="220"/>
      <c r="G773" s="219"/>
      <c r="H773" s="313"/>
      <c r="I773" s="247"/>
      <c r="J773" s="410"/>
      <c r="K773" s="413"/>
      <c r="L773" s="344"/>
      <c r="M773" s="247"/>
    </row>
    <row r="774" spans="2:13" s="257" customFormat="1" x14ac:dyDescent="0.2">
      <c r="B774" s="416" t="s">
        <v>1103</v>
      </c>
      <c r="C774" s="417"/>
      <c r="D774" s="418"/>
      <c r="E774" s="591"/>
      <c r="F774" s="418"/>
      <c r="G774" s="418"/>
      <c r="H774" s="418"/>
      <c r="I774" s="418"/>
      <c r="J774" s="418"/>
    </row>
    <row r="775" spans="2:13" s="257" customFormat="1" x14ac:dyDescent="0.2">
      <c r="B775" s="416" t="s">
        <v>1104</v>
      </c>
      <c r="C775" s="417"/>
      <c r="D775" s="418"/>
      <c r="E775" s="591"/>
      <c r="F775" s="418"/>
      <c r="G775" s="418"/>
      <c r="H775" s="418"/>
      <c r="I775" s="418"/>
      <c r="J775" s="418"/>
    </row>
    <row r="776" spans="2:13" s="257" customFormat="1" x14ac:dyDescent="0.2">
      <c r="B776" s="416" t="s">
        <v>1105</v>
      </c>
      <c r="C776" s="417"/>
      <c r="D776" s="418"/>
      <c r="E776" s="591"/>
      <c r="F776" s="418"/>
      <c r="G776" s="418"/>
      <c r="H776" s="418"/>
      <c r="I776" s="418"/>
      <c r="J776" s="418"/>
    </row>
    <row r="777" spans="2:13" s="257" customFormat="1" x14ac:dyDescent="0.2">
      <c r="B777" s="416" t="s">
        <v>1106</v>
      </c>
      <c r="C777" s="417"/>
      <c r="D777" s="418"/>
      <c r="E777" s="591"/>
      <c r="F777" s="418"/>
      <c r="G777" s="418"/>
      <c r="H777" s="418"/>
      <c r="I777" s="418"/>
      <c r="J777" s="418"/>
    </row>
    <row r="778" spans="2:13" s="257" customFormat="1" x14ac:dyDescent="0.2">
      <c r="B778" s="419" t="s">
        <v>853</v>
      </c>
      <c r="C778" s="417"/>
      <c r="D778" s="418"/>
      <c r="E778" s="591"/>
      <c r="F778" s="418"/>
      <c r="G778" s="418"/>
      <c r="H778" s="418"/>
      <c r="I778" s="418"/>
      <c r="J778" s="418"/>
    </row>
    <row r="779" spans="2:13" s="257" customFormat="1" x14ac:dyDescent="0.2">
      <c r="B779" s="416" t="s">
        <v>1109</v>
      </c>
      <c r="C779" s="417"/>
      <c r="D779" s="418"/>
      <c r="E779" s="591"/>
      <c r="F779" s="418"/>
      <c r="G779" s="418"/>
      <c r="H779" s="418"/>
      <c r="I779" s="418"/>
      <c r="J779" s="418"/>
    </row>
    <row r="780" spans="2:13" s="257" customFormat="1" ht="27.75" customHeight="1" x14ac:dyDescent="0.2">
      <c r="B780" s="608" t="s">
        <v>1503</v>
      </c>
      <c r="C780" s="609"/>
      <c r="D780" s="609"/>
      <c r="E780" s="609"/>
      <c r="F780" s="609"/>
      <c r="G780" s="609"/>
      <c r="H780" s="609"/>
      <c r="I780" s="609"/>
      <c r="J780" s="609"/>
      <c r="K780" s="609"/>
      <c r="L780" s="609"/>
      <c r="M780" s="609"/>
    </row>
    <row r="781" spans="2:13" s="257" customFormat="1" x14ac:dyDescent="0.2">
      <c r="B781" s="420" t="s">
        <v>0</v>
      </c>
      <c r="C781" s="417"/>
      <c r="D781" s="418"/>
      <c r="E781" s="591"/>
      <c r="F781" s="418"/>
      <c r="G781" s="418"/>
      <c r="H781" s="418"/>
      <c r="I781" s="418"/>
      <c r="J781" s="418"/>
    </row>
    <row r="782" spans="2:13" s="257" customFormat="1" x14ac:dyDescent="0.2">
      <c r="B782" s="420" t="s">
        <v>1</v>
      </c>
      <c r="C782" s="417"/>
      <c r="D782" s="418"/>
      <c r="E782" s="591"/>
      <c r="F782" s="418"/>
      <c r="G782" s="418"/>
      <c r="H782" s="418"/>
      <c r="I782" s="418"/>
      <c r="J782" s="418"/>
    </row>
    <row r="783" spans="2:13" s="257" customFormat="1" x14ac:dyDescent="0.2">
      <c r="B783" s="415" t="s">
        <v>1669</v>
      </c>
      <c r="C783" s="417"/>
      <c r="D783" s="418"/>
      <c r="E783" s="591"/>
      <c r="F783" s="418"/>
      <c r="G783" s="418"/>
      <c r="H783" s="418"/>
      <c r="I783" s="418"/>
      <c r="J783" s="418"/>
    </row>
    <row r="784" spans="2:13" s="257" customFormat="1" x14ac:dyDescent="0.2">
      <c r="B784" s="415" t="s">
        <v>854</v>
      </c>
      <c r="C784" s="417"/>
      <c r="D784" s="418"/>
      <c r="E784" s="591"/>
      <c r="F784" s="418"/>
      <c r="G784" s="418"/>
      <c r="H784" s="418"/>
      <c r="I784" s="418"/>
      <c r="J784" s="418"/>
    </row>
    <row r="785" spans="2:13" s="257" customFormat="1" x14ac:dyDescent="0.2">
      <c r="B785" s="421" t="s">
        <v>855</v>
      </c>
      <c r="C785" s="417"/>
      <c r="D785" s="418"/>
      <c r="E785" s="591"/>
      <c r="F785" s="418"/>
      <c r="G785" s="418"/>
      <c r="H785" s="418"/>
      <c r="I785" s="418"/>
      <c r="J785" s="418"/>
    </row>
    <row r="786" spans="2:13" s="257" customFormat="1" x14ac:dyDescent="0.2">
      <c r="B786" s="416" t="s">
        <v>4</v>
      </c>
      <c r="C786" s="417"/>
      <c r="D786" s="418"/>
      <c r="E786" s="591"/>
      <c r="F786" s="418"/>
      <c r="G786" s="418"/>
      <c r="H786" s="418"/>
      <c r="I786" s="418"/>
      <c r="J786" s="418"/>
    </row>
    <row r="787" spans="2:13" s="257" customFormat="1" x14ac:dyDescent="0.2">
      <c r="B787" s="415" t="s">
        <v>1670</v>
      </c>
      <c r="C787" s="417"/>
      <c r="D787" s="418"/>
      <c r="E787" s="591"/>
      <c r="F787" s="418"/>
      <c r="G787" s="418"/>
      <c r="H787" s="418"/>
      <c r="I787" s="418"/>
      <c r="J787" s="418"/>
    </row>
    <row r="788" spans="2:13" s="257" customFormat="1" x14ac:dyDescent="0.2">
      <c r="B788" s="415" t="s">
        <v>1671</v>
      </c>
      <c r="C788" s="247"/>
      <c r="D788" s="219"/>
      <c r="E788" s="580"/>
      <c r="F788" s="220"/>
      <c r="G788" s="219"/>
      <c r="H788" s="313"/>
      <c r="I788" s="247"/>
      <c r="J788" s="410"/>
      <c r="K788" s="413"/>
      <c r="L788" s="344"/>
      <c r="M788" s="247"/>
    </row>
    <row r="789" spans="2:13" s="257" customFormat="1" x14ac:dyDescent="0.2">
      <c r="B789" s="415" t="s">
        <v>856</v>
      </c>
      <c r="C789" s="417"/>
      <c r="D789" s="418"/>
      <c r="E789" s="591"/>
      <c r="F789" s="418"/>
      <c r="G789" s="418"/>
      <c r="H789" s="418"/>
      <c r="I789" s="418"/>
      <c r="J789" s="418"/>
    </row>
    <row r="790" spans="2:13" s="257" customFormat="1" ht="15" customHeight="1" x14ac:dyDescent="0.2">
      <c r="B790" s="610" t="s">
        <v>857</v>
      </c>
      <c r="C790" s="609"/>
      <c r="D790" s="609"/>
      <c r="E790" s="609"/>
      <c r="F790" s="609"/>
      <c r="G790" s="609"/>
      <c r="H790" s="609"/>
      <c r="I790" s="609"/>
      <c r="J790" s="609"/>
      <c r="K790" s="609"/>
      <c r="L790" s="609"/>
      <c r="M790" s="609"/>
    </row>
    <row r="791" spans="2:13" s="257" customFormat="1" x14ac:dyDescent="0.2">
      <c r="B791" s="415" t="s">
        <v>1642</v>
      </c>
      <c r="C791" s="417"/>
      <c r="D791" s="418"/>
      <c r="E791" s="591"/>
      <c r="F791" s="418"/>
      <c r="G791" s="418"/>
      <c r="H791" s="418"/>
      <c r="I791" s="418"/>
      <c r="J791" s="418"/>
    </row>
    <row r="792" spans="2:13" s="257" customFormat="1" x14ac:dyDescent="0.2">
      <c r="B792" s="415" t="s">
        <v>544</v>
      </c>
      <c r="C792" s="417"/>
      <c r="D792" s="418"/>
      <c r="E792" s="591"/>
      <c r="F792" s="418"/>
      <c r="G792" s="418"/>
      <c r="H792" s="418"/>
      <c r="I792" s="418"/>
      <c r="J792" s="418"/>
    </row>
    <row r="793" spans="2:13" s="257" customFormat="1" x14ac:dyDescent="0.2">
      <c r="B793" s="415" t="s">
        <v>542</v>
      </c>
      <c r="C793" s="417"/>
      <c r="D793" s="418"/>
      <c r="E793" s="591"/>
      <c r="F793" s="418"/>
      <c r="G793" s="418"/>
      <c r="H793" s="418"/>
      <c r="I793" s="418"/>
      <c r="J793" s="418"/>
    </row>
    <row r="794" spans="2:13" s="257" customFormat="1" x14ac:dyDescent="0.2">
      <c r="B794" s="415" t="s">
        <v>543</v>
      </c>
      <c r="C794" s="416"/>
      <c r="D794" s="422"/>
      <c r="E794" s="592"/>
      <c r="F794" s="422"/>
      <c r="G794" s="422"/>
      <c r="H794" s="416"/>
      <c r="I794" s="416"/>
      <c r="J794" s="416"/>
      <c r="L794" s="411"/>
      <c r="M794" s="410"/>
    </row>
    <row r="795" spans="2:13" s="257" customFormat="1" x14ac:dyDescent="0.2">
      <c r="B795" s="416" t="s">
        <v>533</v>
      </c>
      <c r="C795" s="423"/>
      <c r="D795" s="418"/>
      <c r="E795" s="591"/>
      <c r="F795" s="418"/>
      <c r="G795" s="418"/>
      <c r="H795" s="220"/>
      <c r="I795" s="418"/>
      <c r="J795" s="418"/>
      <c r="L795" s="411"/>
      <c r="M795" s="410"/>
    </row>
    <row r="796" spans="2:13" s="257" customFormat="1" x14ac:dyDescent="0.2">
      <c r="B796" s="416" t="s">
        <v>534</v>
      </c>
      <c r="C796" s="423"/>
      <c r="D796" s="418"/>
      <c r="E796" s="591"/>
      <c r="F796" s="418"/>
      <c r="G796" s="418"/>
      <c r="H796" s="220"/>
      <c r="I796" s="418"/>
      <c r="J796" s="418"/>
      <c r="L796" s="314"/>
      <c r="M796" s="410"/>
    </row>
    <row r="797" spans="2:13" s="257" customFormat="1" x14ac:dyDescent="0.2">
      <c r="B797" s="415" t="s">
        <v>1466</v>
      </c>
      <c r="C797" s="424"/>
      <c r="D797" s="4"/>
      <c r="E797" s="593"/>
      <c r="F797" s="4"/>
      <c r="G797" s="4"/>
      <c r="H797" s="4"/>
      <c r="I797" s="4"/>
      <c r="J797" s="4"/>
      <c r="K797" s="275"/>
      <c r="L797" s="298"/>
      <c r="M797" s="298"/>
    </row>
    <row r="798" spans="2:13" s="257" customFormat="1" x14ac:dyDescent="0.2">
      <c r="B798" s="405" t="s">
        <v>1467</v>
      </c>
      <c r="C798" s="424"/>
      <c r="D798" s="4"/>
      <c r="E798" s="593"/>
      <c r="F798" s="4"/>
      <c r="G798" s="4"/>
      <c r="H798" s="4"/>
      <c r="I798" s="4"/>
      <c r="J798" s="4"/>
      <c r="K798" s="275"/>
      <c r="L798" s="298"/>
      <c r="M798" s="298"/>
    </row>
    <row r="799" spans="2:13" s="257" customFormat="1" x14ac:dyDescent="0.2">
      <c r="B799" s="415" t="s">
        <v>1468</v>
      </c>
      <c r="C799" s="424"/>
      <c r="D799" s="4"/>
      <c r="E799" s="593"/>
      <c r="F799" s="4"/>
      <c r="G799" s="4"/>
      <c r="H799" s="4"/>
      <c r="I799" s="4"/>
      <c r="J799" s="4"/>
      <c r="K799" s="275"/>
      <c r="L799" s="298"/>
      <c r="M799" s="298"/>
    </row>
    <row r="800" spans="2:13" s="257" customFormat="1" x14ac:dyDescent="0.2">
      <c r="B800" s="415" t="s">
        <v>1469</v>
      </c>
      <c r="C800" s="424"/>
      <c r="D800" s="4"/>
      <c r="E800" s="593"/>
      <c r="F800" s="4"/>
      <c r="G800" s="4"/>
      <c r="H800" s="4"/>
      <c r="I800" s="4"/>
      <c r="J800" s="4"/>
      <c r="K800" s="275"/>
      <c r="L800" s="298"/>
      <c r="M800" s="298"/>
    </row>
    <row r="801" spans="2:13" s="257" customFormat="1" x14ac:dyDescent="0.2">
      <c r="B801" s="425" t="s">
        <v>1470</v>
      </c>
      <c r="C801" s="424"/>
      <c r="D801" s="4"/>
      <c r="E801" s="593"/>
      <c r="F801" s="4"/>
      <c r="G801" s="4"/>
      <c r="H801" s="4"/>
      <c r="I801" s="4"/>
      <c r="J801" s="4"/>
      <c r="K801" s="275"/>
      <c r="L801" s="298"/>
      <c r="M801" s="298"/>
    </row>
    <row r="802" spans="2:13" s="257" customFormat="1" x14ac:dyDescent="0.2">
      <c r="B802" s="275" t="s">
        <v>1153</v>
      </c>
      <c r="C802" s="424"/>
      <c r="D802" s="4"/>
      <c r="E802" s="593"/>
      <c r="F802" s="4"/>
      <c r="G802" s="4"/>
      <c r="H802" s="4"/>
      <c r="I802" s="4"/>
      <c r="J802" s="4"/>
      <c r="K802" s="275"/>
      <c r="L802" s="298"/>
      <c r="M802" s="298"/>
    </row>
    <row r="803" spans="2:13" s="257" customFormat="1" x14ac:dyDescent="0.2">
      <c r="B803" s="275" t="s">
        <v>534</v>
      </c>
      <c r="C803" s="424"/>
      <c r="D803" s="4"/>
      <c r="E803" s="593"/>
      <c r="F803" s="4"/>
      <c r="G803" s="4"/>
      <c r="H803" s="4"/>
      <c r="I803" s="4"/>
      <c r="J803" s="4"/>
      <c r="K803" s="275"/>
      <c r="L803" s="298"/>
      <c r="M803" s="298"/>
    </row>
    <row r="804" spans="2:13" s="257" customFormat="1" x14ac:dyDescent="0.2">
      <c r="B804" s="425" t="s">
        <v>1471</v>
      </c>
      <c r="C804" s="424"/>
      <c r="D804" s="4"/>
      <c r="E804" s="593"/>
      <c r="F804" s="4"/>
      <c r="G804" s="4"/>
      <c r="H804" s="4"/>
      <c r="I804" s="4"/>
      <c r="J804" s="4"/>
      <c r="K804" s="275"/>
      <c r="L804" s="298"/>
      <c r="M804" s="298"/>
    </row>
    <row r="805" spans="2:13" s="257" customFormat="1" x14ac:dyDescent="0.2">
      <c r="B805" s="275" t="s">
        <v>1154</v>
      </c>
      <c r="C805" s="424"/>
      <c r="D805" s="4"/>
      <c r="E805" s="593"/>
      <c r="F805" s="4"/>
      <c r="G805" s="4"/>
      <c r="H805" s="4"/>
      <c r="I805" s="4"/>
      <c r="J805" s="4"/>
      <c r="K805" s="275"/>
      <c r="L805" s="298"/>
      <c r="M805" s="298"/>
    </row>
    <row r="806" spans="2:13" s="257" customFormat="1" x14ac:dyDescent="0.2">
      <c r="B806" s="275" t="s">
        <v>1155</v>
      </c>
      <c r="C806" s="424"/>
      <c r="D806" s="4"/>
      <c r="E806" s="593"/>
      <c r="F806" s="4"/>
      <c r="G806" s="4"/>
      <c r="H806" s="4"/>
      <c r="I806" s="4"/>
      <c r="J806" s="4"/>
      <c r="K806" s="275"/>
      <c r="L806" s="298"/>
      <c r="M806" s="298"/>
    </row>
    <row r="807" spans="2:13" s="257" customFormat="1" x14ac:dyDescent="0.2">
      <c r="B807" s="275" t="s">
        <v>534</v>
      </c>
      <c r="C807" s="424"/>
      <c r="D807" s="4"/>
      <c r="E807" s="593"/>
      <c r="F807" s="4"/>
      <c r="G807" s="4"/>
      <c r="H807" s="4"/>
      <c r="I807" s="4"/>
      <c r="J807" s="4"/>
      <c r="K807" s="275"/>
      <c r="L807" s="298"/>
      <c r="M807" s="298"/>
    </row>
    <row r="808" spans="2:13" s="257" customFormat="1" x14ac:dyDescent="0.2">
      <c r="B808" s="425" t="s">
        <v>1472</v>
      </c>
      <c r="C808" s="424"/>
      <c r="D808" s="4"/>
      <c r="E808" s="593"/>
      <c r="F808" s="4"/>
      <c r="G808" s="4"/>
      <c r="H808" s="4"/>
      <c r="I808" s="4"/>
      <c r="J808" s="4"/>
      <c r="K808" s="275"/>
      <c r="L808" s="298"/>
      <c r="M808" s="298"/>
    </row>
    <row r="809" spans="2:13" s="257" customFormat="1" x14ac:dyDescent="0.2">
      <c r="B809" s="425" t="s">
        <v>1473</v>
      </c>
      <c r="C809" s="424"/>
      <c r="D809" s="4"/>
      <c r="E809" s="593"/>
      <c r="F809" s="4"/>
      <c r="G809" s="4"/>
      <c r="H809" s="4"/>
      <c r="I809" s="4"/>
      <c r="J809" s="4"/>
      <c r="K809" s="275"/>
      <c r="L809" s="298"/>
      <c r="M809" s="298"/>
    </row>
    <row r="810" spans="2:13" s="257" customFormat="1" x14ac:dyDescent="0.2">
      <c r="B810" s="425" t="s">
        <v>1474</v>
      </c>
      <c r="C810" s="424"/>
      <c r="D810" s="4"/>
      <c r="E810" s="593"/>
      <c r="F810" s="4"/>
      <c r="G810" s="4"/>
      <c r="H810" s="4"/>
      <c r="I810" s="4"/>
      <c r="J810" s="4"/>
      <c r="K810" s="275"/>
      <c r="L810" s="298"/>
      <c r="M810" s="298"/>
    </row>
    <row r="811" spans="2:13" s="257" customFormat="1" x14ac:dyDescent="0.2">
      <c r="B811" s="275" t="s">
        <v>1156</v>
      </c>
      <c r="C811" s="424"/>
      <c r="D811" s="4"/>
      <c r="E811" s="593"/>
      <c r="F811" s="4"/>
      <c r="G811" s="4"/>
      <c r="H811" s="4"/>
      <c r="I811" s="4"/>
      <c r="J811" s="4"/>
      <c r="K811" s="275"/>
      <c r="L811" s="298"/>
      <c r="M811" s="298"/>
    </row>
    <row r="812" spans="2:13" s="257" customFormat="1" x14ac:dyDescent="0.2">
      <c r="B812" s="275" t="s">
        <v>534</v>
      </c>
      <c r="C812" s="424"/>
      <c r="D812" s="4"/>
      <c r="E812" s="593"/>
      <c r="F812" s="4"/>
      <c r="G812" s="4"/>
      <c r="H812" s="4"/>
      <c r="I812" s="4"/>
      <c r="J812" s="4"/>
      <c r="K812" s="275"/>
      <c r="L812" s="298"/>
      <c r="M812" s="298"/>
    </row>
    <row r="813" spans="2:13" s="257" customFormat="1" x14ac:dyDescent="0.2">
      <c r="B813" s="425" t="s">
        <v>1475</v>
      </c>
      <c r="C813" s="424"/>
      <c r="D813" s="4"/>
      <c r="E813" s="593"/>
      <c r="F813" s="4"/>
      <c r="G813" s="4"/>
      <c r="H813" s="4"/>
      <c r="I813" s="4"/>
      <c r="J813" s="4"/>
      <c r="K813" s="275"/>
      <c r="L813" s="298"/>
      <c r="M813" s="298"/>
    </row>
    <row r="814" spans="2:13" s="257" customFormat="1" x14ac:dyDescent="0.2">
      <c r="B814" s="275" t="s">
        <v>1157</v>
      </c>
      <c r="C814" s="424"/>
      <c r="D814" s="4"/>
      <c r="E814" s="593"/>
      <c r="F814" s="4"/>
      <c r="G814" s="4"/>
      <c r="H814" s="4"/>
      <c r="I814" s="4"/>
      <c r="J814" s="4"/>
      <c r="K814" s="275"/>
      <c r="L814" s="298"/>
      <c r="M814" s="298"/>
    </row>
    <row r="815" spans="2:13" s="257" customFormat="1" x14ac:dyDescent="0.2">
      <c r="B815" s="275" t="s">
        <v>1158</v>
      </c>
      <c r="C815" s="424"/>
      <c r="D815" s="4"/>
      <c r="E815" s="593"/>
      <c r="F815" s="4"/>
      <c r="G815" s="4"/>
      <c r="H815" s="4"/>
      <c r="I815" s="4"/>
      <c r="J815" s="4"/>
      <c r="K815" s="275"/>
      <c r="L815" s="298"/>
      <c r="M815" s="298"/>
    </row>
    <row r="816" spans="2:13" s="257" customFormat="1" x14ac:dyDescent="0.2">
      <c r="B816" s="275" t="s">
        <v>1159</v>
      </c>
      <c r="C816" s="424"/>
      <c r="D816" s="4"/>
      <c r="E816" s="593"/>
      <c r="F816" s="4"/>
      <c r="G816" s="4"/>
      <c r="H816" s="4"/>
      <c r="I816" s="4"/>
      <c r="J816" s="4"/>
      <c r="K816" s="275"/>
      <c r="L816" s="298"/>
      <c r="M816" s="298"/>
    </row>
    <row r="817" spans="2:13" s="257" customFormat="1" x14ac:dyDescent="0.2">
      <c r="B817" s="248" t="s">
        <v>1476</v>
      </c>
      <c r="C817" s="424"/>
      <c r="D817" s="4"/>
      <c r="E817" s="593"/>
      <c r="F817" s="4"/>
      <c r="G817" s="4"/>
      <c r="H817" s="4"/>
      <c r="I817" s="4"/>
      <c r="J817" s="4"/>
      <c r="K817" s="275"/>
      <c r="L817" s="298"/>
      <c r="M817" s="298"/>
    </row>
    <row r="818" spans="2:13" s="257" customFormat="1" x14ac:dyDescent="0.2">
      <c r="B818" s="425" t="s">
        <v>1477</v>
      </c>
      <c r="C818" s="424"/>
      <c r="D818" s="4"/>
      <c r="E818" s="593"/>
      <c r="F818" s="4"/>
      <c r="G818" s="4"/>
      <c r="H818" s="4"/>
      <c r="I818" s="4"/>
      <c r="J818" s="4"/>
      <c r="K818" s="275"/>
      <c r="L818" s="298"/>
      <c r="M818" s="298"/>
    </row>
    <row r="819" spans="2:13" s="257" customFormat="1" x14ac:dyDescent="0.2">
      <c r="B819" s="275" t="s">
        <v>1160</v>
      </c>
      <c r="C819" s="424"/>
      <c r="D819" s="4"/>
      <c r="E819" s="593"/>
      <c r="F819" s="4"/>
      <c r="G819" s="4"/>
      <c r="H819" s="4"/>
      <c r="I819" s="4"/>
      <c r="J819" s="4"/>
      <c r="K819" s="275"/>
      <c r="L819" s="298"/>
      <c r="M819" s="298"/>
    </row>
    <row r="820" spans="2:13" s="257" customFormat="1" x14ac:dyDescent="0.2">
      <c r="B820" s="275" t="s">
        <v>1161</v>
      </c>
      <c r="C820" s="424"/>
      <c r="D820" s="4"/>
      <c r="E820" s="593"/>
      <c r="F820" s="4"/>
      <c r="G820" s="4"/>
      <c r="H820" s="4"/>
      <c r="I820" s="4"/>
      <c r="J820" s="4"/>
      <c r="K820" s="275"/>
      <c r="L820" s="298"/>
      <c r="M820" s="298"/>
    </row>
    <row r="821" spans="2:13" s="257" customFormat="1" x14ac:dyDescent="0.2">
      <c r="B821" s="275" t="s">
        <v>1162</v>
      </c>
      <c r="C821" s="424"/>
      <c r="D821" s="4"/>
      <c r="E821" s="593"/>
      <c r="F821" s="4"/>
      <c r="G821" s="4"/>
      <c r="H821" s="4"/>
      <c r="I821" s="4"/>
      <c r="J821" s="4"/>
      <c r="K821" s="275"/>
      <c r="L821" s="298"/>
      <c r="M821" s="298"/>
    </row>
    <row r="822" spans="2:13" s="257" customFormat="1" x14ac:dyDescent="0.2">
      <c r="B822" s="275" t="s">
        <v>1158</v>
      </c>
      <c r="C822" s="424"/>
      <c r="D822" s="4"/>
      <c r="E822" s="593"/>
      <c r="F822" s="4"/>
      <c r="G822" s="4"/>
      <c r="H822" s="4"/>
      <c r="I822" s="4"/>
      <c r="J822" s="4"/>
      <c r="K822" s="275"/>
      <c r="L822" s="298"/>
      <c r="M822" s="298"/>
    </row>
    <row r="823" spans="2:13" s="257" customFormat="1" x14ac:dyDescent="0.2">
      <c r="B823" s="275" t="s">
        <v>1159</v>
      </c>
      <c r="C823" s="424"/>
      <c r="D823" s="4"/>
      <c r="E823" s="593"/>
      <c r="F823" s="4"/>
      <c r="G823" s="4"/>
      <c r="H823" s="4"/>
      <c r="I823" s="4"/>
      <c r="J823" s="4"/>
      <c r="K823" s="275"/>
      <c r="L823" s="298"/>
      <c r="M823" s="298"/>
    </row>
    <row r="824" spans="2:13" s="257" customFormat="1" x14ac:dyDescent="0.2">
      <c r="B824" s="425" t="s">
        <v>1478</v>
      </c>
      <c r="C824" s="424"/>
      <c r="D824" s="4"/>
      <c r="E824" s="593"/>
      <c r="F824" s="4"/>
      <c r="G824" s="4"/>
      <c r="H824" s="4"/>
      <c r="I824" s="4"/>
      <c r="J824" s="4"/>
      <c r="K824" s="275"/>
      <c r="L824" s="298"/>
      <c r="M824" s="298"/>
    </row>
    <row r="825" spans="2:13" s="257" customFormat="1" x14ac:dyDescent="0.2">
      <c r="B825" s="275" t="s">
        <v>1163</v>
      </c>
      <c r="C825" s="424"/>
      <c r="D825" s="4"/>
      <c r="E825" s="593"/>
      <c r="F825" s="4"/>
      <c r="G825" s="4"/>
      <c r="H825" s="4"/>
      <c r="I825" s="4"/>
      <c r="J825" s="4"/>
      <c r="K825" s="275"/>
      <c r="L825" s="298"/>
      <c r="M825" s="298"/>
    </row>
    <row r="826" spans="2:13" s="257" customFormat="1" x14ac:dyDescent="0.2">
      <c r="B826" s="425" t="s">
        <v>1479</v>
      </c>
      <c r="C826" s="424"/>
      <c r="D826" s="4"/>
      <c r="E826" s="593"/>
      <c r="F826" s="4"/>
      <c r="G826" s="4"/>
      <c r="H826" s="4"/>
      <c r="I826" s="4"/>
      <c r="J826" s="4"/>
      <c r="K826" s="275"/>
      <c r="L826" s="298"/>
      <c r="M826" s="298"/>
    </row>
    <row r="827" spans="2:13" s="257" customFormat="1" x14ac:dyDescent="0.2">
      <c r="B827" s="275" t="s">
        <v>1233</v>
      </c>
      <c r="C827" s="424"/>
      <c r="D827" s="4"/>
      <c r="E827" s="593"/>
      <c r="F827" s="4"/>
      <c r="G827" s="4"/>
      <c r="H827" s="4"/>
      <c r="I827" s="4"/>
      <c r="J827" s="4"/>
      <c r="K827" s="275"/>
      <c r="L827" s="298"/>
      <c r="M827" s="298"/>
    </row>
    <row r="828" spans="2:13" s="257" customFormat="1" x14ac:dyDescent="0.2">
      <c r="B828" s="275" t="s">
        <v>534</v>
      </c>
      <c r="C828" s="424"/>
      <c r="D828" s="4"/>
      <c r="E828" s="593"/>
      <c r="F828" s="4"/>
      <c r="G828" s="4"/>
      <c r="H828" s="4"/>
      <c r="I828" s="4"/>
      <c r="J828" s="4"/>
      <c r="K828" s="275"/>
      <c r="L828" s="298"/>
      <c r="M828" s="298"/>
    </row>
    <row r="829" spans="2:13" s="257" customFormat="1" x14ac:dyDescent="0.2">
      <c r="B829" s="425" t="s">
        <v>1480</v>
      </c>
      <c r="C829" s="424"/>
      <c r="D829" s="4"/>
      <c r="E829" s="593"/>
      <c r="F829" s="4"/>
      <c r="G829" s="4"/>
      <c r="H829" s="4"/>
      <c r="I829" s="4"/>
      <c r="J829" s="4"/>
      <c r="K829" s="275"/>
      <c r="L829" s="298"/>
      <c r="M829" s="298"/>
    </row>
    <row r="830" spans="2:13" s="257" customFormat="1" x14ac:dyDescent="0.2">
      <c r="B830" s="426" t="s">
        <v>1481</v>
      </c>
      <c r="C830" s="424"/>
      <c r="D830" s="4"/>
      <c r="E830" s="593"/>
      <c r="F830" s="4"/>
      <c r="G830" s="4"/>
      <c r="H830" s="4"/>
      <c r="I830" s="4"/>
      <c r="J830" s="4"/>
      <c r="K830" s="275"/>
      <c r="L830" s="298"/>
      <c r="M830" s="298"/>
    </row>
    <row r="831" spans="2:13" s="257" customFormat="1" x14ac:dyDescent="0.2">
      <c r="B831" s="425" t="s">
        <v>1482</v>
      </c>
      <c r="C831" s="424"/>
      <c r="D831" s="4"/>
      <c r="E831" s="593"/>
      <c r="F831" s="4"/>
      <c r="G831" s="4"/>
      <c r="H831" s="4"/>
      <c r="I831" s="4"/>
      <c r="J831" s="4"/>
      <c r="K831" s="275"/>
      <c r="L831" s="298"/>
      <c r="M831" s="298"/>
    </row>
    <row r="832" spans="2:13" s="257" customFormat="1" x14ac:dyDescent="0.2">
      <c r="B832" s="425" t="s">
        <v>1483</v>
      </c>
      <c r="C832" s="424"/>
      <c r="D832" s="4"/>
      <c r="E832" s="593"/>
      <c r="F832" s="4"/>
      <c r="G832" s="4"/>
      <c r="H832" s="4"/>
      <c r="I832" s="4"/>
      <c r="J832" s="4"/>
      <c r="K832" s="275"/>
      <c r="L832" s="298"/>
      <c r="M832" s="298"/>
    </row>
    <row r="833" spans="2:13" s="257" customFormat="1" x14ac:dyDescent="0.2">
      <c r="B833" s="425" t="s">
        <v>1484</v>
      </c>
      <c r="C833" s="424"/>
      <c r="D833" s="4"/>
      <c r="E833" s="593"/>
      <c r="F833" s="4"/>
      <c r="G833" s="4"/>
      <c r="H833" s="4"/>
      <c r="I833" s="4"/>
      <c r="J833" s="4"/>
      <c r="K833" s="275"/>
      <c r="L833" s="298"/>
      <c r="M833" s="298"/>
    </row>
    <row r="834" spans="2:13" s="257" customFormat="1" x14ac:dyDescent="0.2">
      <c r="B834" s="425" t="s">
        <v>1485</v>
      </c>
      <c r="C834" s="424"/>
      <c r="D834" s="4"/>
      <c r="E834" s="593"/>
      <c r="F834" s="4"/>
      <c r="G834" s="4"/>
      <c r="H834" s="4"/>
      <c r="I834" s="4"/>
      <c r="J834" s="4"/>
      <c r="K834" s="275"/>
      <c r="L834" s="298"/>
      <c r="M834" s="298"/>
    </row>
    <row r="835" spans="2:13" s="257" customFormat="1" x14ac:dyDescent="0.2">
      <c r="B835" s="425" t="s">
        <v>1486</v>
      </c>
      <c r="C835" s="424"/>
      <c r="D835" s="4"/>
      <c r="E835" s="593"/>
      <c r="F835" s="4"/>
      <c r="G835" s="4"/>
      <c r="H835" s="4"/>
      <c r="I835" s="4"/>
      <c r="J835" s="4"/>
      <c r="K835" s="275"/>
      <c r="L835" s="298"/>
      <c r="M835" s="298"/>
    </row>
    <row r="836" spans="2:13" s="257" customFormat="1" x14ac:dyDescent="0.2">
      <c r="B836" s="425" t="s">
        <v>1487</v>
      </c>
      <c r="C836" s="424"/>
      <c r="D836" s="4"/>
      <c r="E836" s="593"/>
      <c r="F836" s="4"/>
      <c r="G836" s="4"/>
      <c r="H836" s="4"/>
      <c r="I836" s="4"/>
      <c r="J836" s="4"/>
      <c r="K836" s="275"/>
      <c r="L836" s="298"/>
      <c r="M836" s="298"/>
    </row>
    <row r="837" spans="2:13" s="257" customFormat="1" x14ac:dyDescent="0.2">
      <c r="B837" s="425" t="s">
        <v>1488</v>
      </c>
      <c r="C837" s="424"/>
      <c r="D837" s="4"/>
      <c r="E837" s="593"/>
      <c r="F837" s="4"/>
      <c r="G837" s="4"/>
      <c r="H837" s="4"/>
      <c r="I837" s="4"/>
      <c r="J837" s="4"/>
      <c r="K837" s="275"/>
      <c r="L837" s="298"/>
      <c r="M837" s="298"/>
    </row>
    <row r="838" spans="2:13" s="257" customFormat="1" x14ac:dyDescent="0.2">
      <c r="B838" s="425" t="s">
        <v>1489</v>
      </c>
      <c r="C838" s="424"/>
      <c r="D838" s="4"/>
      <c r="E838" s="593"/>
      <c r="F838" s="4"/>
      <c r="G838" s="4"/>
      <c r="H838" s="4"/>
      <c r="I838" s="4"/>
      <c r="J838" s="4"/>
      <c r="K838" s="275"/>
      <c r="L838" s="298"/>
      <c r="M838" s="298"/>
    </row>
    <row r="839" spans="2:13" s="257" customFormat="1" x14ac:dyDescent="0.2">
      <c r="B839" s="425" t="s">
        <v>1490</v>
      </c>
      <c r="C839" s="424"/>
      <c r="D839" s="4"/>
      <c r="E839" s="593"/>
      <c r="F839" s="4"/>
      <c r="G839" s="4"/>
      <c r="H839" s="4"/>
      <c r="I839" s="4"/>
      <c r="J839" s="4"/>
      <c r="K839" s="275"/>
      <c r="L839" s="298"/>
      <c r="M839" s="298"/>
    </row>
    <row r="840" spans="2:13" s="257" customFormat="1" x14ac:dyDescent="0.2">
      <c r="B840" s="425" t="s">
        <v>1491</v>
      </c>
      <c r="C840" s="424"/>
      <c r="D840" s="4"/>
      <c r="E840" s="593"/>
      <c r="F840" s="4"/>
      <c r="G840" s="4"/>
      <c r="H840" s="4"/>
      <c r="I840" s="4"/>
      <c r="J840" s="4"/>
      <c r="K840" s="275"/>
      <c r="L840" s="298"/>
      <c r="M840" s="298"/>
    </row>
    <row r="841" spans="2:13" s="257" customFormat="1" ht="37.5" customHeight="1" x14ac:dyDescent="0.2">
      <c r="B841" s="604" t="s">
        <v>1492</v>
      </c>
      <c r="C841" s="605"/>
      <c r="D841" s="605"/>
      <c r="E841" s="605"/>
      <c r="F841" s="605"/>
      <c r="G841" s="605"/>
      <c r="H841" s="605"/>
      <c r="I841" s="605"/>
      <c r="J841" s="605"/>
      <c r="K841" s="605"/>
      <c r="L841" s="605"/>
      <c r="M841" s="605"/>
    </row>
    <row r="842" spans="2:13" s="257" customFormat="1" x14ac:dyDescent="0.2">
      <c r="B842" s="602" t="s">
        <v>1493</v>
      </c>
      <c r="C842" s="603"/>
      <c r="D842" s="603"/>
      <c r="E842" s="603"/>
      <c r="F842" s="603"/>
      <c r="G842" s="603"/>
      <c r="H842" s="603"/>
      <c r="I842" s="603"/>
      <c r="J842" s="603"/>
      <c r="K842" s="603"/>
      <c r="L842" s="298"/>
      <c r="M842" s="298"/>
    </row>
    <row r="843" spans="2:13" x14ac:dyDescent="0.2">
      <c r="B843" s="606" t="s">
        <v>1494</v>
      </c>
      <c r="C843" s="607"/>
      <c r="D843" s="607"/>
      <c r="E843" s="607"/>
      <c r="F843" s="607"/>
      <c r="G843" s="607"/>
      <c r="H843" s="607"/>
      <c r="I843" s="607"/>
      <c r="J843" s="607"/>
      <c r="K843" s="607"/>
      <c r="L843" s="427"/>
      <c r="M843" s="427"/>
    </row>
    <row r="844" spans="2:13" x14ac:dyDescent="0.2">
      <c r="B844" s="606" t="s">
        <v>1495</v>
      </c>
      <c r="C844" s="607"/>
      <c r="D844" s="607"/>
      <c r="E844" s="607"/>
      <c r="F844" s="607"/>
      <c r="G844" s="607"/>
      <c r="H844" s="607"/>
      <c r="I844" s="607"/>
      <c r="J844" s="607"/>
      <c r="K844" s="607"/>
      <c r="L844" s="427"/>
      <c r="M844" s="427"/>
    </row>
    <row r="845" spans="2:13" x14ac:dyDescent="0.2">
      <c r="B845" s="606" t="s">
        <v>1496</v>
      </c>
      <c r="C845" s="607"/>
      <c r="D845" s="607"/>
      <c r="E845" s="607"/>
      <c r="F845" s="607"/>
      <c r="G845" s="607"/>
      <c r="H845" s="607"/>
      <c r="I845" s="607"/>
      <c r="J845" s="607"/>
      <c r="K845" s="607"/>
      <c r="L845" s="427"/>
      <c r="M845" s="427"/>
    </row>
    <row r="846" spans="2:13" x14ac:dyDescent="0.2">
      <c r="B846" s="607" t="s">
        <v>1497</v>
      </c>
      <c r="C846" s="607"/>
      <c r="D846" s="607"/>
      <c r="E846" s="594"/>
      <c r="F846" s="271"/>
      <c r="G846" s="271"/>
      <c r="H846" s="271"/>
      <c r="I846" s="271"/>
      <c r="J846" s="271"/>
      <c r="K846" s="270"/>
      <c r="L846" s="427"/>
      <c r="M846" s="427"/>
    </row>
    <row r="847" spans="2:13" x14ac:dyDescent="0.2">
      <c r="B847" s="270" t="s">
        <v>1334</v>
      </c>
      <c r="C847" s="270"/>
      <c r="D847" s="271"/>
      <c r="E847" s="594"/>
      <c r="F847" s="271"/>
      <c r="G847" s="271"/>
      <c r="H847" s="271"/>
      <c r="I847" s="271"/>
      <c r="J847" s="271"/>
      <c r="K847" s="270"/>
      <c r="L847" s="427"/>
      <c r="M847" s="427"/>
    </row>
    <row r="848" spans="2:13" x14ac:dyDescent="0.2">
      <c r="B848" s="270" t="s">
        <v>1335</v>
      </c>
      <c r="C848" s="270"/>
      <c r="D848" s="271"/>
      <c r="E848" s="594"/>
      <c r="F848" s="271"/>
      <c r="G848" s="271"/>
      <c r="H848" s="271"/>
      <c r="I848" s="271"/>
      <c r="J848" s="271"/>
      <c r="K848" s="270"/>
      <c r="L848" s="270"/>
      <c r="M848" s="270"/>
    </row>
    <row r="849" spans="2:13" x14ac:dyDescent="0.2">
      <c r="B849" s="606" t="s">
        <v>1498</v>
      </c>
      <c r="C849" s="606"/>
      <c r="D849" s="606"/>
      <c r="E849" s="594"/>
      <c r="F849" s="271"/>
      <c r="G849" s="271"/>
      <c r="H849" s="271"/>
      <c r="I849" s="271"/>
      <c r="J849" s="271"/>
      <c r="K849" s="270"/>
      <c r="L849" s="270"/>
      <c r="M849" s="270"/>
    </row>
    <row r="850" spans="2:13" x14ac:dyDescent="0.2">
      <c r="B850" s="270" t="s">
        <v>1337</v>
      </c>
      <c r="C850" s="270"/>
      <c r="D850" s="271"/>
      <c r="E850" s="594"/>
      <c r="F850" s="271"/>
      <c r="G850" s="271"/>
      <c r="H850" s="271"/>
      <c r="I850" s="271"/>
      <c r="J850" s="271"/>
      <c r="K850" s="270"/>
      <c r="L850" s="270"/>
      <c r="M850" s="270"/>
    </row>
    <row r="851" spans="2:13" x14ac:dyDescent="0.2">
      <c r="B851" s="606" t="s">
        <v>1499</v>
      </c>
      <c r="C851" s="607"/>
      <c r="D851" s="607"/>
      <c r="E851" s="607"/>
      <c r="F851" s="607"/>
      <c r="G851" s="607"/>
      <c r="H851" s="607"/>
      <c r="I851" s="607"/>
      <c r="J851" s="607"/>
      <c r="K851" s="607"/>
      <c r="L851" s="270"/>
      <c r="M851" s="270"/>
    </row>
    <row r="852" spans="2:13" x14ac:dyDescent="0.2">
      <c r="B852" s="602" t="s">
        <v>1500</v>
      </c>
      <c r="C852" s="603"/>
      <c r="D852" s="603"/>
      <c r="E852" s="603"/>
      <c r="F852" s="603"/>
      <c r="G852" s="603"/>
      <c r="H852" s="603"/>
      <c r="I852" s="603"/>
      <c r="J852" s="603"/>
      <c r="K852" s="603"/>
      <c r="L852" s="270"/>
      <c r="M852" s="270"/>
    </row>
    <row r="853" spans="2:13" x14ac:dyDescent="0.2">
      <c r="B853" s="602" t="s">
        <v>1501</v>
      </c>
      <c r="C853" s="603"/>
      <c r="D853" s="603"/>
      <c r="E853" s="603"/>
      <c r="F853" s="603"/>
      <c r="G853" s="603"/>
      <c r="H853" s="603"/>
      <c r="I853" s="603"/>
      <c r="J853" s="603"/>
      <c r="K853" s="603"/>
      <c r="L853" s="270"/>
      <c r="M853" s="270"/>
    </row>
    <row r="854" spans="2:13" x14ac:dyDescent="0.2">
      <c r="B854" s="428" t="s">
        <v>1502</v>
      </c>
      <c r="C854" s="429"/>
      <c r="D854" s="271"/>
      <c r="E854" s="594"/>
      <c r="F854" s="271"/>
      <c r="G854" s="271"/>
      <c r="H854" s="271"/>
      <c r="I854" s="271"/>
      <c r="J854" s="271"/>
      <c r="K854" s="270"/>
      <c r="L854" s="270"/>
      <c r="M854" s="270"/>
    </row>
    <row r="855" spans="2:13" x14ac:dyDescent="0.2">
      <c r="B855" s="428" t="s">
        <v>1531</v>
      </c>
      <c r="C855" s="429"/>
      <c r="D855" s="271"/>
      <c r="E855" s="594"/>
    </row>
    <row r="856" spans="2:13" s="270" customFormat="1" x14ac:dyDescent="0.2">
      <c r="B856" s="428" t="s">
        <v>1533</v>
      </c>
      <c r="C856" s="429"/>
      <c r="D856" s="271"/>
      <c r="E856" s="594"/>
      <c r="F856" s="271"/>
      <c r="G856" s="271"/>
      <c r="H856" s="271"/>
      <c r="I856" s="271"/>
      <c r="J856" s="271"/>
    </row>
    <row r="857" spans="2:13" x14ac:dyDescent="0.2">
      <c r="B857" s="428" t="s">
        <v>1535</v>
      </c>
      <c r="C857" s="429"/>
      <c r="D857" s="271"/>
      <c r="E857" s="594"/>
    </row>
    <row r="858" spans="2:13" x14ac:dyDescent="0.2">
      <c r="B858" s="428" t="s">
        <v>1536</v>
      </c>
    </row>
    <row r="859" spans="2:13" x14ac:dyDescent="0.2">
      <c r="B859" s="428" t="s">
        <v>1537</v>
      </c>
    </row>
    <row r="860" spans="2:13" x14ac:dyDescent="0.2">
      <c r="B860" s="428" t="s">
        <v>1540</v>
      </c>
    </row>
    <row r="861" spans="2:13" x14ac:dyDescent="0.2">
      <c r="B861" s="430" t="s">
        <v>1599</v>
      </c>
    </row>
    <row r="862" spans="2:13" x14ac:dyDescent="0.2">
      <c r="B862" s="431" t="s">
        <v>1639</v>
      </c>
    </row>
    <row r="863" spans="2:13" x14ac:dyDescent="0.2">
      <c r="B863" s="428" t="s">
        <v>1600</v>
      </c>
      <c r="C863" s="270"/>
      <c r="D863" s="271"/>
      <c r="E863" s="594"/>
      <c r="F863" s="271"/>
      <c r="G863" s="270"/>
      <c r="H863" s="270"/>
      <c r="I863" s="270"/>
      <c r="J863" s="270"/>
      <c r="K863" s="270"/>
      <c r="L863" s="270"/>
      <c r="M863" s="270"/>
    </row>
    <row r="864" spans="2:13" ht="24.75" customHeight="1" x14ac:dyDescent="0.2">
      <c r="B864" s="599" t="s">
        <v>1601</v>
      </c>
      <c r="C864" s="599"/>
      <c r="D864" s="599"/>
      <c r="E864" s="599"/>
      <c r="F864" s="599"/>
      <c r="G864" s="599"/>
      <c r="H864" s="599"/>
      <c r="I864" s="599"/>
      <c r="J864" s="599"/>
      <c r="K864" s="599"/>
      <c r="L864" s="599"/>
      <c r="M864" s="599"/>
    </row>
    <row r="865" spans="2:13" ht="16.5" customHeight="1" x14ac:dyDescent="0.2">
      <c r="B865" s="428" t="s">
        <v>1602</v>
      </c>
      <c r="C865" s="432"/>
      <c r="D865" s="625"/>
      <c r="E865" s="595"/>
      <c r="F865" s="625"/>
      <c r="G865" s="432"/>
      <c r="H865" s="432"/>
      <c r="I865" s="432"/>
      <c r="J865" s="432"/>
      <c r="K865" s="432"/>
      <c r="L865" s="432"/>
      <c r="M865" s="432"/>
    </row>
    <row r="866" spans="2:13" x14ac:dyDescent="0.2">
      <c r="B866" s="428" t="s">
        <v>1603</v>
      </c>
      <c r="C866" s="270"/>
      <c r="D866" s="271"/>
      <c r="E866" s="594"/>
      <c r="F866" s="271"/>
      <c r="G866" s="270"/>
      <c r="H866" s="270"/>
      <c r="I866" s="270"/>
      <c r="J866" s="270"/>
      <c r="K866" s="270"/>
      <c r="L866" s="270"/>
      <c r="M866" s="270"/>
    </row>
    <row r="867" spans="2:13" ht="30" customHeight="1" x14ac:dyDescent="0.2">
      <c r="B867" s="599" t="s">
        <v>1604</v>
      </c>
      <c r="C867" s="599"/>
      <c r="D867" s="599"/>
      <c r="E867" s="599"/>
      <c r="F867" s="599"/>
      <c r="G867" s="599"/>
      <c r="H867" s="599"/>
      <c r="I867" s="599"/>
      <c r="J867" s="599"/>
      <c r="K867" s="599"/>
      <c r="L867" s="599"/>
      <c r="M867" s="599"/>
    </row>
    <row r="868" spans="2:13" x14ac:dyDescent="0.2">
      <c r="B868" s="428" t="s">
        <v>1605</v>
      </c>
    </row>
    <row r="869" spans="2:13" x14ac:dyDescent="0.2">
      <c r="B869" s="433" t="s">
        <v>1641</v>
      </c>
    </row>
    <row r="870" spans="2:13" s="270" customFormat="1" x14ac:dyDescent="0.2">
      <c r="B870" s="270" t="s">
        <v>1734</v>
      </c>
      <c r="C870" s="429"/>
      <c r="D870" s="271"/>
      <c r="E870" s="594"/>
      <c r="F870" s="271"/>
      <c r="G870" s="271"/>
      <c r="H870" s="271"/>
      <c r="I870" s="271"/>
      <c r="J870" s="271"/>
    </row>
    <row r="871" spans="2:13" s="270" customFormat="1" x14ac:dyDescent="0.2">
      <c r="B871" s="598" t="s">
        <v>1735</v>
      </c>
      <c r="C871" s="597"/>
      <c r="D871" s="597"/>
      <c r="E871" s="597"/>
      <c r="F871" s="597"/>
      <c r="G871" s="597"/>
      <c r="H871" s="597"/>
      <c r="I871" s="599"/>
      <c r="J871" s="599"/>
    </row>
    <row r="872" spans="2:13" s="270" customFormat="1" x14ac:dyDescent="0.2">
      <c r="B872" s="598" t="s">
        <v>1736</v>
      </c>
      <c r="C872" s="597"/>
      <c r="D872" s="597"/>
      <c r="E872" s="597"/>
      <c r="F872" s="597"/>
      <c r="G872" s="597"/>
      <c r="H872" s="597"/>
      <c r="I872" s="599"/>
      <c r="J872" s="599"/>
    </row>
    <row r="873" spans="2:13" s="270" customFormat="1" x14ac:dyDescent="0.2">
      <c r="B873" s="598" t="s">
        <v>1737</v>
      </c>
      <c r="C873" s="597"/>
      <c r="D873" s="597"/>
      <c r="E873" s="597"/>
      <c r="F873" s="597"/>
      <c r="G873" s="597"/>
      <c r="H873" s="597"/>
      <c r="I873" s="599"/>
      <c r="J873" s="599"/>
    </row>
    <row r="874" spans="2:13" s="270" customFormat="1" x14ac:dyDescent="0.2">
      <c r="B874" s="598" t="s">
        <v>1738</v>
      </c>
      <c r="C874" s="597"/>
      <c r="D874" s="597"/>
      <c r="E874" s="597"/>
      <c r="F874" s="597"/>
      <c r="G874" s="597"/>
      <c r="H874" s="597"/>
      <c r="I874" s="599"/>
      <c r="J874" s="599"/>
    </row>
    <row r="875" spans="2:13" s="270" customFormat="1" x14ac:dyDescent="0.2">
      <c r="B875" s="598" t="s">
        <v>1739</v>
      </c>
      <c r="C875" s="597"/>
      <c r="D875" s="597"/>
      <c r="E875" s="597"/>
      <c r="F875" s="597"/>
      <c r="G875" s="597"/>
      <c r="H875" s="597"/>
      <c r="I875" s="599"/>
      <c r="J875" s="599"/>
    </row>
    <row r="876" spans="2:13" s="270" customFormat="1" x14ac:dyDescent="0.2">
      <c r="B876" s="598" t="s">
        <v>1740</v>
      </c>
      <c r="C876" s="597"/>
      <c r="D876" s="597"/>
      <c r="E876" s="597"/>
      <c r="F876" s="597"/>
      <c r="G876" s="597"/>
      <c r="H876" s="597"/>
      <c r="I876" s="597"/>
      <c r="J876" s="597"/>
      <c r="K876" s="597"/>
      <c r="L876" s="597"/>
    </row>
    <row r="877" spans="2:13" s="270" customFormat="1" x14ac:dyDescent="0.2">
      <c r="B877" s="598" t="s">
        <v>1741</v>
      </c>
      <c r="C877" s="598"/>
      <c r="D877" s="598"/>
      <c r="E877" s="598"/>
      <c r="F877" s="598"/>
      <c r="G877" s="598"/>
      <c r="H877" s="598"/>
      <c r="I877" s="598"/>
      <c r="J877" s="598"/>
    </row>
    <row r="878" spans="2:13" s="270" customFormat="1" x14ac:dyDescent="0.2">
      <c r="B878" s="598" t="s">
        <v>1742</v>
      </c>
      <c r="C878" s="598"/>
      <c r="D878" s="598"/>
      <c r="E878" s="598"/>
      <c r="F878" s="598"/>
      <c r="G878" s="598"/>
      <c r="H878" s="598"/>
      <c r="I878" s="598"/>
      <c r="J878" s="598"/>
    </row>
    <row r="879" spans="2:13" s="270" customFormat="1" x14ac:dyDescent="0.2">
      <c r="B879" s="598" t="s">
        <v>1743</v>
      </c>
      <c r="C879" s="598"/>
      <c r="D879" s="598"/>
      <c r="E879" s="598"/>
      <c r="F879" s="598"/>
      <c r="G879" s="598"/>
      <c r="H879" s="598"/>
      <c r="I879" s="598"/>
      <c r="J879" s="598"/>
    </row>
    <row r="880" spans="2:13" s="270" customFormat="1" x14ac:dyDescent="0.2">
      <c r="B880" s="598" t="s">
        <v>1744</v>
      </c>
      <c r="C880" s="598"/>
      <c r="D880" s="598"/>
      <c r="E880" s="598"/>
      <c r="F880" s="598"/>
      <c r="G880" s="598"/>
      <c r="H880" s="598"/>
      <c r="I880" s="598"/>
      <c r="J880" s="598"/>
    </row>
    <row r="881" spans="2:12" s="270" customFormat="1" x14ac:dyDescent="0.2">
      <c r="B881" s="598" t="s">
        <v>1745</v>
      </c>
      <c r="C881" s="598"/>
      <c r="D881" s="598"/>
      <c r="E881" s="598"/>
      <c r="F881" s="598"/>
      <c r="G881" s="598"/>
      <c r="H881" s="598"/>
      <c r="I881" s="598"/>
      <c r="J881" s="598"/>
    </row>
    <row r="882" spans="2:12" s="270" customFormat="1" x14ac:dyDescent="0.2">
      <c r="B882" s="598" t="s">
        <v>1746</v>
      </c>
      <c r="C882" s="598"/>
      <c r="D882" s="598"/>
      <c r="E882" s="598"/>
      <c r="F882" s="598"/>
      <c r="G882" s="598"/>
      <c r="H882" s="598"/>
      <c r="I882" s="598"/>
      <c r="J882" s="598"/>
    </row>
    <row r="883" spans="2:12" s="270" customFormat="1" x14ac:dyDescent="0.2">
      <c r="B883" s="598" t="s">
        <v>1747</v>
      </c>
      <c r="C883" s="598"/>
      <c r="D883" s="598"/>
      <c r="E883" s="598"/>
      <c r="F883" s="598"/>
      <c r="G883" s="598"/>
      <c r="H883" s="598"/>
      <c r="I883" s="598"/>
      <c r="J883" s="598"/>
    </row>
    <row r="884" spans="2:12" s="270" customFormat="1" x14ac:dyDescent="0.2">
      <c r="B884" s="598" t="s">
        <v>1748</v>
      </c>
      <c r="C884" s="598"/>
      <c r="D884" s="598"/>
      <c r="E884" s="598"/>
      <c r="F884" s="598"/>
      <c r="G884" s="598"/>
      <c r="H884" s="598"/>
      <c r="I884" s="598"/>
      <c r="J884" s="598"/>
    </row>
    <row r="885" spans="2:12" s="270" customFormat="1" x14ac:dyDescent="0.2">
      <c r="B885" s="598" t="s">
        <v>1749</v>
      </c>
      <c r="C885" s="598"/>
      <c r="D885" s="598"/>
      <c r="E885" s="598"/>
      <c r="F885" s="598"/>
      <c r="G885" s="598"/>
      <c r="H885" s="598"/>
      <c r="I885" s="598"/>
      <c r="J885" s="598"/>
      <c r="K885" s="599"/>
      <c r="L885" s="599"/>
    </row>
    <row r="886" spans="2:12" s="270" customFormat="1" x14ac:dyDescent="0.2">
      <c r="B886" s="598" t="s">
        <v>1750</v>
      </c>
      <c r="C886" s="598"/>
      <c r="D886" s="598"/>
      <c r="E886" s="598"/>
      <c r="F886" s="598"/>
      <c r="G886" s="598"/>
      <c r="H886" s="598"/>
      <c r="I886" s="598"/>
      <c r="J886" s="598"/>
      <c r="K886" s="599"/>
      <c r="L886" s="599"/>
    </row>
    <row r="887" spans="2:12" s="270" customFormat="1" x14ac:dyDescent="0.2">
      <c r="B887" s="598" t="s">
        <v>1751</v>
      </c>
      <c r="C887" s="598"/>
      <c r="D887" s="598"/>
      <c r="E887" s="598"/>
      <c r="F887" s="598"/>
      <c r="G887" s="598"/>
      <c r="H887" s="598"/>
      <c r="I887" s="598"/>
      <c r="J887" s="598"/>
    </row>
    <row r="888" spans="2:12" s="270" customFormat="1" x14ac:dyDescent="0.2">
      <c r="B888" s="597" t="s">
        <v>1752</v>
      </c>
      <c r="C888" s="597"/>
      <c r="D888" s="597"/>
      <c r="E888" s="597"/>
      <c r="F888" s="597"/>
      <c r="G888" s="597"/>
      <c r="H888" s="597"/>
      <c r="I888" s="597"/>
      <c r="J888" s="597"/>
      <c r="K888" s="599"/>
      <c r="L888" s="599"/>
    </row>
    <row r="889" spans="2:12" s="270" customFormat="1" x14ac:dyDescent="0.2">
      <c r="B889" s="598" t="s">
        <v>1753</v>
      </c>
      <c r="C889" s="598"/>
      <c r="D889" s="598"/>
      <c r="E889" s="598"/>
      <c r="F889" s="598"/>
      <c r="G889" s="598"/>
      <c r="H889" s="598"/>
      <c r="I889" s="598"/>
      <c r="J889" s="598"/>
      <c r="K889" s="599"/>
      <c r="L889" s="599"/>
    </row>
    <row r="890" spans="2:12" s="270" customFormat="1" x14ac:dyDescent="0.2">
      <c r="B890" s="598" t="s">
        <v>1754</v>
      </c>
      <c r="C890" s="598"/>
      <c r="D890" s="598"/>
      <c r="E890" s="598"/>
      <c r="F890" s="598"/>
      <c r="G890" s="598"/>
      <c r="H890" s="598"/>
      <c r="I890" s="598"/>
      <c r="J890" s="598"/>
      <c r="K890" s="599"/>
      <c r="L890" s="599"/>
    </row>
    <row r="891" spans="2:12" s="270" customFormat="1" x14ac:dyDescent="0.2">
      <c r="B891" s="598" t="s">
        <v>1755</v>
      </c>
      <c r="C891" s="598"/>
      <c r="D891" s="598"/>
      <c r="E891" s="598"/>
      <c r="F891" s="598"/>
      <c r="G891" s="598"/>
      <c r="H891" s="598"/>
      <c r="I891" s="598"/>
      <c r="J891" s="598"/>
    </row>
    <row r="892" spans="2:12" x14ac:dyDescent="0.2">
      <c r="B892" s="597" t="s">
        <v>1756</v>
      </c>
      <c r="C892" s="597"/>
      <c r="D892" s="597"/>
      <c r="E892" s="597"/>
      <c r="F892" s="597"/>
      <c r="G892" s="597"/>
      <c r="H892" s="597"/>
      <c r="I892" s="597"/>
      <c r="J892" s="597"/>
    </row>
    <row r="893" spans="2:12" x14ac:dyDescent="0.2">
      <c r="B893" s="597" t="s">
        <v>1757</v>
      </c>
      <c r="C893" s="597"/>
      <c r="D893" s="597"/>
      <c r="E893" s="597"/>
      <c r="F893" s="597"/>
      <c r="G893" s="597"/>
      <c r="H893" s="597"/>
      <c r="I893" s="597"/>
      <c r="J893" s="597"/>
    </row>
    <row r="894" spans="2:12" x14ac:dyDescent="0.2">
      <c r="B894" s="519" t="s">
        <v>1962</v>
      </c>
    </row>
    <row r="895" spans="2:12" x14ac:dyDescent="0.2">
      <c r="B895" s="520" t="s">
        <v>1963</v>
      </c>
    </row>
    <row r="896" spans="2:12" x14ac:dyDescent="0.2">
      <c r="B896" s="520" t="s">
        <v>1964</v>
      </c>
    </row>
    <row r="897" spans="2:13" x14ac:dyDescent="0.2">
      <c r="B897" s="520" t="s">
        <v>1965</v>
      </c>
    </row>
    <row r="898" spans="2:13" x14ac:dyDescent="0.2">
      <c r="B898" s="521" t="s">
        <v>1966</v>
      </c>
    </row>
    <row r="899" spans="2:13" x14ac:dyDescent="0.2">
      <c r="B899" s="521" t="s">
        <v>1967</v>
      </c>
    </row>
    <row r="900" spans="2:13" x14ac:dyDescent="0.2">
      <c r="B900" s="521" t="s">
        <v>1968</v>
      </c>
    </row>
    <row r="901" spans="2:13" x14ac:dyDescent="0.2">
      <c r="B901" s="521" t="s">
        <v>1969</v>
      </c>
    </row>
    <row r="902" spans="2:13" x14ac:dyDescent="0.2">
      <c r="B902" s="521" t="s">
        <v>1970</v>
      </c>
    </row>
    <row r="903" spans="2:13" x14ac:dyDescent="0.2">
      <c r="B903" s="521" t="s">
        <v>1971</v>
      </c>
    </row>
    <row r="904" spans="2:13" x14ac:dyDescent="0.2">
      <c r="B904" s="521" t="s">
        <v>1972</v>
      </c>
    </row>
    <row r="905" spans="2:13" x14ac:dyDescent="0.2">
      <c r="B905" s="596" t="s">
        <v>2008</v>
      </c>
    </row>
    <row r="906" spans="2:13" x14ac:dyDescent="0.2">
      <c r="B906" s="596" t="s">
        <v>2009</v>
      </c>
    </row>
    <row r="907" spans="2:13" x14ac:dyDescent="0.2">
      <c r="B907" s="596" t="s">
        <v>2010</v>
      </c>
    </row>
    <row r="908" spans="2:13" x14ac:dyDescent="0.2">
      <c r="B908" s="596" t="s">
        <v>2001</v>
      </c>
    </row>
    <row r="909" spans="2:13" x14ac:dyDescent="0.2">
      <c r="B909" s="596" t="s">
        <v>2011</v>
      </c>
    </row>
    <row r="910" spans="2:13" x14ac:dyDescent="0.2">
      <c r="B910" s="596" t="s">
        <v>2012</v>
      </c>
    </row>
    <row r="911" spans="2:13" ht="12.75" customHeight="1" x14ac:dyDescent="0.2">
      <c r="B911" s="521" t="s">
        <v>2013</v>
      </c>
      <c r="C911" s="521"/>
      <c r="D911" s="626"/>
      <c r="E911" s="521"/>
      <c r="F911" s="626"/>
      <c r="G911" s="521"/>
      <c r="H911" s="521"/>
      <c r="I911" s="521"/>
      <c r="J911" s="521"/>
      <c r="K911" s="521"/>
      <c r="L911" s="521"/>
      <c r="M911" s="521"/>
    </row>
  </sheetData>
  <mergeCells count="41">
    <mergeCell ref="B876:L876"/>
    <mergeCell ref="B877:J877"/>
    <mergeCell ref="B790:M790"/>
    <mergeCell ref="B846:D846"/>
    <mergeCell ref="B852:K852"/>
    <mergeCell ref="B875:J875"/>
    <mergeCell ref="B871:J871"/>
    <mergeCell ref="B872:J872"/>
    <mergeCell ref="B873:J873"/>
    <mergeCell ref="B874:J874"/>
    <mergeCell ref="B864:M864"/>
    <mergeCell ref="B867:M867"/>
    <mergeCell ref="B4:M4"/>
    <mergeCell ref="B5:M5"/>
    <mergeCell ref="B6:M6"/>
    <mergeCell ref="B7:M7"/>
    <mergeCell ref="B853:K853"/>
    <mergeCell ref="B841:M841"/>
    <mergeCell ref="B842:K842"/>
    <mergeCell ref="B843:K843"/>
    <mergeCell ref="B844:K844"/>
    <mergeCell ref="B845:K845"/>
    <mergeCell ref="B849:D849"/>
    <mergeCell ref="B851:K851"/>
    <mergeCell ref="B780:M780"/>
    <mergeCell ref="B892:J892"/>
    <mergeCell ref="B893:J893"/>
    <mergeCell ref="B883:J883"/>
    <mergeCell ref="B878:J878"/>
    <mergeCell ref="B879:J879"/>
    <mergeCell ref="B880:J880"/>
    <mergeCell ref="B881:J881"/>
    <mergeCell ref="B882:J882"/>
    <mergeCell ref="B891:J891"/>
    <mergeCell ref="B885:L885"/>
    <mergeCell ref="B884:J884"/>
    <mergeCell ref="B886:L886"/>
    <mergeCell ref="B887:J887"/>
    <mergeCell ref="B888:L888"/>
    <mergeCell ref="B889:L889"/>
    <mergeCell ref="B890:L890"/>
  </mergeCells>
  <phoneticPr fontId="0" type="noConversion"/>
  <printOptions horizontalCentered="1" verticalCentered="1"/>
  <pageMargins left="0.74803149606299213" right="0.74803149606299213" top="0.31496062992125984" bottom="0.39370078740157483" header="0.31496062992125984" footer="0"/>
  <pageSetup paperSize="9" scale="54" fitToHeight="6" orientation="landscape" verticalDpi="300" r:id="rId1"/>
  <headerFooter alignWithMargins="0"/>
  <ignoredErrors>
    <ignoredError sqref="L675 M67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40" sqref="C40"/>
    </sheetView>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Base 90-2020</vt:lpstr>
      <vt:lpstr>Hoja1</vt:lpstr>
      <vt:lpstr>'Base 90-2020'!Área_de_impresión</vt:lpstr>
      <vt:lpstr>'Base 90-2020'!Títulos_a_imprimir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DE INFORMATICA</dc:creator>
  <cp:lastModifiedBy>user</cp:lastModifiedBy>
  <cp:lastPrinted>2019-01-18T20:22:50Z</cp:lastPrinted>
  <dcterms:created xsi:type="dcterms:W3CDTF">1999-10-15T00:05:50Z</dcterms:created>
  <dcterms:modified xsi:type="dcterms:W3CDTF">2021-11-25T14:15:30Z</dcterms:modified>
</cp:coreProperties>
</file>