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firstSheet="2" activeTab="16"/>
  </bookViews>
  <sheets>
    <sheet name="Índice" sheetId="1" r:id="rId1"/>
    <sheet name="C01" sheetId="2" r:id="rId2"/>
    <sheet name="C02" sheetId="3" r:id="rId3"/>
    <sheet name="C03" sheetId="4" r:id="rId4"/>
    <sheet name="C04" sheetId="5" r:id="rId5"/>
    <sheet name="C05" sheetId="6" r:id="rId6"/>
    <sheet name="C06" sheetId="7" r:id="rId7"/>
    <sheet name="C07" sheetId="8" r:id="rId8"/>
    <sheet name="C08" sheetId="9" r:id="rId9"/>
    <sheet name="C0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</sheets>
  <definedNames/>
  <calcPr fullCalcOnLoad="1"/>
</workbook>
</file>

<file path=xl/comments15.xml><?xml version="1.0" encoding="utf-8"?>
<comments xmlns="http://schemas.openxmlformats.org/spreadsheetml/2006/main">
  <authors>
    <author>Bartra Merino, Christian Orlando</author>
  </authors>
  <commentList>
    <comment ref="B31" authorId="0">
      <text>
        <r>
          <rPr>
            <sz val="9"/>
            <rFont val="Tahoma"/>
            <family val="2"/>
          </rPr>
          <t>Se incluye Propiedades de Inversión</t>
        </r>
      </text>
    </comment>
  </commentList>
</comments>
</file>

<file path=xl/comments16.xml><?xml version="1.0" encoding="utf-8"?>
<comments xmlns="http://schemas.openxmlformats.org/spreadsheetml/2006/main">
  <authors>
    <author>Bartra Merino, Christian Orlando</author>
  </authors>
  <commentList>
    <comment ref="B20" authorId="0">
      <text>
        <r>
          <rPr>
            <sz val="9"/>
            <rFont val="Tahoma"/>
            <family val="2"/>
          </rPr>
          <t>Se incluye Remunerac. Benef.Sociales y Obligacio.</t>
        </r>
      </text>
    </comment>
    <comment ref="B11" authorId="0">
      <text>
        <r>
          <rPr>
            <sz val="9"/>
            <rFont val="Tahoma"/>
            <family val="2"/>
          </rPr>
          <t xml:space="preserve">A partir del año 2014 ya no se utiliza esta cuenta.
</t>
        </r>
      </text>
    </comment>
    <comment ref="B35" authorId="0">
      <text>
        <r>
          <rPr>
            <b/>
            <sz val="9"/>
            <rFont val="Tahoma"/>
            <family val="2"/>
          </rPr>
          <t>Se incluye Valores, Títulos y Obligaciones en Circulación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Bartra Merino, Christian Orlando</author>
  </authors>
  <commentList>
    <comment ref="C34" authorId="0">
      <text>
        <r>
          <rPr>
            <sz val="9"/>
            <rFont val="Tahoma"/>
            <family val="2"/>
          </rPr>
          <t xml:space="preserve">G(P): Ganancias o Pérdidas.
</t>
        </r>
      </text>
    </comment>
  </commentList>
</comments>
</file>

<file path=xl/sharedStrings.xml><?xml version="1.0" encoding="utf-8"?>
<sst xmlns="http://schemas.openxmlformats.org/spreadsheetml/2006/main" count="602" uniqueCount="275">
  <si>
    <t>FONDO DE COMPENSACION MUNICIPAL</t>
  </si>
  <si>
    <t>DONACIONES Y TRANSFERENCIAS</t>
  </si>
  <si>
    <t xml:space="preserve">RECURSOS DETERMINADOS </t>
  </si>
  <si>
    <t xml:space="preserve">CONTRIBUCIONES A FONDOS </t>
  </si>
  <si>
    <t>CANON Y SOBRECANON , REGALIAS Y OTROS</t>
  </si>
  <si>
    <t>2009</t>
  </si>
  <si>
    <t>2010</t>
  </si>
  <si>
    <t>2011</t>
  </si>
  <si>
    <t>2012</t>
  </si>
  <si>
    <t>2013</t>
  </si>
  <si>
    <t xml:space="preserve">REC. POR OPERAC.OFIC. DE CREDITO   </t>
  </si>
  <si>
    <t>RECURSOS DIRECT. RECAUDADOS</t>
  </si>
  <si>
    <t>Fuentes de Financiamiento</t>
  </si>
  <si>
    <t>SECTOR PÚBLICO</t>
  </si>
  <si>
    <t>2014</t>
  </si>
  <si>
    <t>INGRESOS</t>
  </si>
  <si>
    <t xml:space="preserve">GASTOS </t>
  </si>
  <si>
    <t xml:space="preserve">IMPUESTOS MUNICIPALES </t>
  </si>
  <si>
    <t>SALDO DE BALANCE</t>
  </si>
  <si>
    <t>TOTAL INGRESOS</t>
  </si>
  <si>
    <t>TOTAL GASTOS</t>
  </si>
  <si>
    <t>TOTAL INGRESOS RECURSOS DETERMINADOS</t>
  </si>
  <si>
    <t>TOTAL GASTOS RECURSOS DETERMINADOS</t>
  </si>
  <si>
    <t>TOTAL SALDOS RECURSOS DETERMINADOS</t>
  </si>
  <si>
    <t>RECURSOS DETERMINADOS</t>
  </si>
  <si>
    <t>TOTAL SALDOS DE BALANCE</t>
  </si>
  <si>
    <t xml:space="preserve">RECURSOS ORDINARIOS  </t>
  </si>
  <si>
    <t>EVOLUCIÓN DE LA EJECUCIÓN DEL PRESUPUESTO DE INGRESOS Y GASTOS SEGÚN FUENTES DE FINANCIAMIENTO</t>
  </si>
  <si>
    <t>EVOLUCIÓN DE LA EJECUCIÓN DEL PRESUPUESTO DE INGRESOS Y GASTOS DE LOS RECURSOS DETERMINADOS</t>
  </si>
  <si>
    <t>EVOLUCIÓN DE LA  EJECUCIÓN DEL PRESUPUESTO DE INGRESOS SEGÚN CLASIFICACIÓN ECONÓMICA</t>
  </si>
  <si>
    <t>Partida de  Ingresos</t>
  </si>
  <si>
    <t>2 0 0 9</t>
  </si>
  <si>
    <t>2 0 1 0</t>
  </si>
  <si>
    <t>2 0 1 1</t>
  </si>
  <si>
    <t>2 0 1 2</t>
  </si>
  <si>
    <t>2 0 1 3</t>
  </si>
  <si>
    <t>2 0 1 4</t>
  </si>
  <si>
    <t>Variación % nominal</t>
  </si>
  <si>
    <t>2009-2010</t>
  </si>
  <si>
    <t>2010-2011</t>
  </si>
  <si>
    <t>2011-2012</t>
  </si>
  <si>
    <t>2012-2013</t>
  </si>
  <si>
    <t>2013-2014</t>
  </si>
  <si>
    <t>INGRESOS CORRIENTES</t>
  </si>
  <si>
    <t>Impuestos y Contrib. Obligatorias</t>
  </si>
  <si>
    <t>Contribuciones sociales</t>
  </si>
  <si>
    <t>Venta de Bienes y Serv. y Derechos Adm.</t>
  </si>
  <si>
    <t>Otros Ingresos</t>
  </si>
  <si>
    <t>INGRESOS DE CAPITAL</t>
  </si>
  <si>
    <t>Venta de Activos no Financieros</t>
  </si>
  <si>
    <t>Venta de Activos Financieros</t>
  </si>
  <si>
    <t>TRANSFERENCIAS</t>
  </si>
  <si>
    <t>Donaciones y Transferencias</t>
  </si>
  <si>
    <t>FINANCIAMIENTO</t>
  </si>
  <si>
    <t>Endeudamiento</t>
  </si>
  <si>
    <t>Saldo de Balance</t>
  </si>
  <si>
    <t>* Neto de las transferencias intrasistemas</t>
  </si>
  <si>
    <t>EVOLUCIÓN DE LA  EJECUCIÓN DEL PRESUPUESTO DE GASTOS SEGÚN CLASIFICACIÓN ECONÓMICA</t>
  </si>
  <si>
    <t>Partida de Gastos</t>
  </si>
  <si>
    <t>GASTOS CORRIENTES</t>
  </si>
  <si>
    <t>Personal y Obligaciones Sociales</t>
  </si>
  <si>
    <t>Pensiones y Otras Prestaciones Soc.</t>
  </si>
  <si>
    <t>Bienes y Servicios</t>
  </si>
  <si>
    <t>Otros Gastos</t>
  </si>
  <si>
    <t>GASTOS DE CAPITAL</t>
  </si>
  <si>
    <t>Adquisición de Act. No Financieros</t>
  </si>
  <si>
    <t>Adquisición de Act.  Financieros</t>
  </si>
  <si>
    <t>SERVICIO DE LA DEUDA</t>
  </si>
  <si>
    <t>Servicio de la Deuda</t>
  </si>
  <si>
    <t>Variación % real</t>
  </si>
  <si>
    <t>IPC</t>
  </si>
  <si>
    <t>Años</t>
  </si>
  <si>
    <t>( En % del PBI )</t>
  </si>
  <si>
    <t xml:space="preserve">Años </t>
  </si>
  <si>
    <t>EJECUCIÓN PRESUPUESTAL DE INGRESOS - GOBIERNO NACIONAL</t>
  </si>
  <si>
    <t>N°</t>
  </si>
  <si>
    <t>IMPUESTOS Y CONTRIBUCIONES OBLIGATORIAS</t>
  </si>
  <si>
    <t>CONTRIBUCIONES SOCIALES</t>
  </si>
  <si>
    <t>VENTA DE BIENES Y SERVICIOS Y DERECHOS ADMINISTRATIVOS</t>
  </si>
  <si>
    <t>OTROS INGRESOS</t>
  </si>
  <si>
    <t>VENTA DE ACTIVOS NO FINANCIEROS</t>
  </si>
  <si>
    <t>VENTA DE ACTIVOS FINANCIEROS</t>
  </si>
  <si>
    <t>ENDEUDAMIENTO</t>
  </si>
  <si>
    <t>SALDOS DE BALANCE</t>
  </si>
  <si>
    <t>TOTAL</t>
  </si>
  <si>
    <t>EJECUCIÓN PRESUPUESTAL DE INGRESOS - GOBIERNO REGIONAL</t>
  </si>
  <si>
    <t>SUB TOTAL</t>
  </si>
  <si>
    <t>(1) No incluye la fuente de Recursos Ordinarios</t>
  </si>
  <si>
    <t>EJECUCIÓN PRESUPUESTAL DE INGRESOS - GOBIERNO LOCAL</t>
  </si>
  <si>
    <t>EJECUCIÓN PRESUPUESTAL DE INGRESOS - EMPRESAS PÚBLICAS</t>
  </si>
  <si>
    <t>EJECUCIÓN PRESUPUESTAL DE GASTOS - EMPRESAS PÚBLICAS</t>
  </si>
  <si>
    <t>GASTOS</t>
  </si>
  <si>
    <t>PERSONAL Y OBLIGACIONES SOCIALES</t>
  </si>
  <si>
    <t>PENSIONES Y OTRAS PRESTACIONES SOCIALES</t>
  </si>
  <si>
    <t>BIENES Y SERVICIOS</t>
  </si>
  <si>
    <t>OTROS GASTOS</t>
  </si>
  <si>
    <t>ADQUISICION DE ACTIVOS NO FINANCIEROS</t>
  </si>
  <si>
    <t>ADQUISICION DE ACTIVOS FINANCIEROS</t>
  </si>
  <si>
    <t>SERVICIO DE LA DEUDA PUBLICA</t>
  </si>
  <si>
    <t>EJECUCIÓN PRESUPUESTAL DE GASTOS - GOBIERNO NACIONAL</t>
  </si>
  <si>
    <t>EJECUCIÓN PRESUPUESTAL DE GASTOS - GOBIERNO REGIONAL</t>
  </si>
  <si>
    <t>EJECUCIÓN PRESUPUESTAL DE GASTOS - GOBIERNO LOCAL</t>
  </si>
  <si>
    <t xml:space="preserve">ESTADO DE SITUACION FINANCIERA </t>
  </si>
  <si>
    <t>CONCEPTO</t>
  </si>
  <si>
    <t>MONTO</t>
  </si>
  <si>
    <t>%</t>
  </si>
  <si>
    <t>ACTIVO</t>
  </si>
  <si>
    <t>ACTIVO CORRIENTE</t>
  </si>
  <si>
    <t>Efectivo y Equivalente de Efectivo</t>
  </si>
  <si>
    <t>Fondos Interbancarios</t>
  </si>
  <si>
    <t>Inversiones Financieras - Inversiones Negociables</t>
  </si>
  <si>
    <t>Cartera de Créditos</t>
  </si>
  <si>
    <t>Cuentas por Cobrar Comerciales (Neto)</t>
  </si>
  <si>
    <t>Cuentas por Cobrar partes relacionadas</t>
  </si>
  <si>
    <t>Otras Cuentas por Cobrar</t>
  </si>
  <si>
    <t>Inventarios</t>
  </si>
  <si>
    <t>Activo No Corrientes mantenidos para la venta</t>
  </si>
  <si>
    <t>Impuesto a la Renta y participaciones diferidas</t>
  </si>
  <si>
    <t>Servicios y Otros Pagados por Anticipado</t>
  </si>
  <si>
    <t>Otros Cuentas del Activo</t>
  </si>
  <si>
    <t>TOTAL ACTIVO CORRIENTE</t>
  </si>
  <si>
    <t>ACTIVO NO CORRIENTE</t>
  </si>
  <si>
    <t xml:space="preserve">Cuentas por Cobrar </t>
  </si>
  <si>
    <t>Existencias</t>
  </si>
  <si>
    <t>Activos Biológicos</t>
  </si>
  <si>
    <t xml:space="preserve">Inversiones Mobiliarias </t>
  </si>
  <si>
    <t>Inmuebles,Maquinaria y Equipo</t>
  </si>
  <si>
    <t>Activos intangibles y Otros Activos</t>
  </si>
  <si>
    <t>Activo por Impuesto a la Renta y Partic. Diferid.</t>
  </si>
  <si>
    <t>TOTAL ACTIVO NO CORRIENTE</t>
  </si>
  <si>
    <t>TOTAL ACTIVO</t>
  </si>
  <si>
    <t>PASIVO CORRIENTE</t>
  </si>
  <si>
    <t>Obligaciones Tesoro Público</t>
  </si>
  <si>
    <t>Sobregiros y Fondos Interbancarios</t>
  </si>
  <si>
    <t>Obligaciones con el Público</t>
  </si>
  <si>
    <t>Depósitos de Emp. del Sist. Financ. y Orga.</t>
  </si>
  <si>
    <t>Adeudos y Oblig.Finan. a c. plazo</t>
  </si>
  <si>
    <t>Cuentas por Pagar Proveedores</t>
  </si>
  <si>
    <t>Valores, Titulos y Obligaciones en Circulación</t>
  </si>
  <si>
    <t>Operaciones de Crédito</t>
  </si>
  <si>
    <t>Otras Cuentas por Pagar</t>
  </si>
  <si>
    <t>Parte Cte. Deudas a Largo Plazo</t>
  </si>
  <si>
    <t>Otros Pasivos</t>
  </si>
  <si>
    <t>Provisiones</t>
  </si>
  <si>
    <t>TOTAL PASIVO CORRIENTE</t>
  </si>
  <si>
    <t>PASIVO NO CORRIENTE</t>
  </si>
  <si>
    <t>Adeudos y Oblig.Finan. a Largo Plazo</t>
  </si>
  <si>
    <t>Cuentas por Pagar Partes Relacionadas</t>
  </si>
  <si>
    <t>Deudas a Largo Plazo</t>
  </si>
  <si>
    <t xml:space="preserve">Beneficios Sociales  y Oblig. Previsionales </t>
  </si>
  <si>
    <t>Ingresos Diferidos</t>
  </si>
  <si>
    <t>Otras Cuentas del Pasivo</t>
  </si>
  <si>
    <t>Pasivo por Impuestos a las Ganancias. Diferidas.</t>
  </si>
  <si>
    <t>TOTAL PASIVO NO CORRIENTE</t>
  </si>
  <si>
    <t>TOTAL PASIVO</t>
  </si>
  <si>
    <t>PATRIMONIO</t>
  </si>
  <si>
    <t>Capital</t>
  </si>
  <si>
    <t>Hacienda Nacional</t>
  </si>
  <si>
    <t>Hacienda Nacional Adicional</t>
  </si>
  <si>
    <t>Ajustes y Resultados No Realizados</t>
  </si>
  <si>
    <t>Reservas Legales y Otras Reservas</t>
  </si>
  <si>
    <t>Resultados Acumulados</t>
  </si>
  <si>
    <t>Intereses Minoritarios</t>
  </si>
  <si>
    <t>TOTAL PATRIMONIO</t>
  </si>
  <si>
    <t>TOTAL PASIVO Y PATRIMONIO</t>
  </si>
  <si>
    <t>ESTADO DE GESTIÓN</t>
  </si>
  <si>
    <t>Ingresos Tributarios Netos</t>
  </si>
  <si>
    <t>Ingresos No Tributarios,Ventas netas y otros Ing. Operacionales</t>
  </si>
  <si>
    <t>Traspasos y Remesas Recibidas</t>
  </si>
  <si>
    <t>Donaciones y Transferencias Recibidas</t>
  </si>
  <si>
    <t>TOTAL  INGRESOS</t>
  </si>
  <si>
    <t>COSTOS Y GASTOS</t>
  </si>
  <si>
    <t>Costo de Ventas y Otros Costos Operacionales</t>
  </si>
  <si>
    <t>Gastos Financieros</t>
  </si>
  <si>
    <t>Gastos de Venta</t>
  </si>
  <si>
    <t>Gastos Administrativos</t>
  </si>
  <si>
    <t>Gastos en Bienes y Servicios</t>
  </si>
  <si>
    <t>Gastos de Personal</t>
  </si>
  <si>
    <t>Gastos por Pens. Prest. y Asistencia Social</t>
  </si>
  <si>
    <t>Donaciones y transferencias Otorgadas</t>
  </si>
  <si>
    <t>Estimaciones y Provisiones del Ejercicio</t>
  </si>
  <si>
    <t>TOTAL COSTOS Y GASTOS</t>
  </si>
  <si>
    <t>UTILIDAD OPERATIVA</t>
  </si>
  <si>
    <t>OTROS INGRESOS Y GASTOS</t>
  </si>
  <si>
    <t>G(P)Surg.de la Dif. Entre Val.Lib.Ant.y el Val. Just. De Act. Financ. Reclas.Med. A Val. Raz.</t>
  </si>
  <si>
    <t>Ingresos ( Gasto ) Neto de Operaciones en Descontinuación</t>
  </si>
  <si>
    <t>Otros  Ingresos y Gastos</t>
  </si>
  <si>
    <t>TOTAL OTROS INGRESOS Y GASTOS</t>
  </si>
  <si>
    <t>Gastos por Impuestos a las Ganancias</t>
  </si>
  <si>
    <t>RESULT. DEL EJERCICIO SUPERAVIT(DEFICIT)</t>
  </si>
  <si>
    <t>Matriz</t>
  </si>
  <si>
    <t>COMPONENTES DE OTRO RESULTADO INTEGRAL:</t>
  </si>
  <si>
    <t>Ganancias(pérdidas)Neta por Activos Financieros Disponibles para la Venta</t>
  </si>
  <si>
    <t>Ganancias(Perdidas)de Inversiones en Instrumentos de Patrimonio</t>
  </si>
  <si>
    <t>Otros Componentes de Resultado Integral</t>
  </si>
  <si>
    <t>OTRO RESULTADO INTEGRAL ANTES DE IMPUESTO</t>
  </si>
  <si>
    <t>IMPUESTO A LAS GANANCIAS RELACIONADO CON  COMPONENTES DE OTRO</t>
  </si>
  <si>
    <t>Ganancias de Inversiones por Instrumentos de Patrimonio</t>
  </si>
  <si>
    <t>SUMA DE COMPONENTES DE OTRO RESULTADO INTEGRAL CON IMPUESTO A</t>
  </si>
  <si>
    <t>OTROS RESULTADOS INTEGRALES</t>
  </si>
  <si>
    <t xml:space="preserve">OTRO RESULTADO  INTEGRAL DEL EJERCICIO NETO DE IMPUESTOS  </t>
  </si>
  <si>
    <t>Estadísticas de la Cuenta General de la República</t>
  </si>
  <si>
    <t>Estados Presupuestarios</t>
  </si>
  <si>
    <t>C01</t>
  </si>
  <si>
    <t>Estados financieros</t>
  </si>
  <si>
    <t>Ejecución Presupuestal de Ingresos del Gobierno Nacional</t>
  </si>
  <si>
    <t>Ejecución Presupuestal de Gastos del Gobierno Nacional</t>
  </si>
  <si>
    <t>Ejecución Presupuestal de Ingresos de los Gobiernos Regionales</t>
  </si>
  <si>
    <t>Ejecución Presupuestal de Gastos de los Gobiernos Regionales</t>
  </si>
  <si>
    <t>Ejecución Presupuestal de Ingresos de los Gobiernos Locales</t>
  </si>
  <si>
    <t>Ejecución Presupuestal de Gastos de los Gobiernos Locales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</si>
  <si>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</si>
  <si>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</si>
  <si>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</si>
  <si>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</si>
  <si>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</si>
  <si>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</si>
  <si>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</si>
  <si>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</si>
  <si>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</si>
  <si>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</si>
  <si>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Ejecución Presupuestal de Ingresos de las Empresas Públicas</t>
  </si>
  <si>
    <t>C12</t>
  </si>
  <si>
    <t>Ejecución Presupuestal de Gastos de las Empresas Públicas</t>
  </si>
  <si>
    <t>C13</t>
  </si>
  <si>
    <t>C14</t>
  </si>
  <si>
    <t>C15</t>
  </si>
  <si>
    <t>C16</t>
  </si>
  <si>
    <t xml:space="preserve">INGRESOS </t>
  </si>
  <si>
    <t>INGRESOS (1)</t>
  </si>
  <si>
    <r>
      <t xml:space="preserve">RECURSOS ORDINARIOS </t>
    </r>
    <r>
      <rPr>
        <sz val="11"/>
        <color indexed="8"/>
        <rFont val="Calibri"/>
        <family val="2"/>
      </rPr>
      <t>(2)</t>
    </r>
  </si>
  <si>
    <t>2015</t>
  </si>
  <si>
    <t>2 0 1 5</t>
  </si>
  <si>
    <t>2014-2015</t>
  </si>
  <si>
    <t>Venta de Activos No Financieros</t>
  </si>
  <si>
    <t>(2) Corresponde a la ejecución de gastos financiado con recursos ordinarios</t>
  </si>
  <si>
    <t>Ingresos Financieros</t>
  </si>
  <si>
    <t>(En miles de soles)</t>
  </si>
  <si>
    <t>( En Miles de Soles )</t>
  </si>
  <si>
    <t>( En Miles de Soles Constantes del 2009 )</t>
  </si>
  <si>
    <t xml:space="preserve"> ( En Miles de Soles )</t>
  </si>
  <si>
    <t>(En Miles de Soles)</t>
  </si>
  <si>
    <t>Ctas. por Pagar a partes relacionadas</t>
  </si>
  <si>
    <t>I.- EMPRESAS PÚBLICAS FINANCIERAS</t>
  </si>
  <si>
    <t>II.- EMPRESAS PÚBLICAS NO FINANCIERAS</t>
  </si>
  <si>
    <t>2016</t>
  </si>
  <si>
    <t>2 0 1 6</t>
  </si>
  <si>
    <t>2015-2016</t>
  </si>
  <si>
    <t>PBI Nominal (miles de soles)</t>
  </si>
  <si>
    <t>Ejecución del Presupuesto de Ingresos y Gastos según Fuentes de Financiamiento 2009 al 2016</t>
  </si>
  <si>
    <t>Ejecución del Presupuesto de Ingresos y Gastos según Fuentes de Financiamiento (solo Recursos Determinados) 2009 al 2016</t>
  </si>
  <si>
    <t>Ejecución del Presupuesto de Ingresos y Gastos según Clasificación Económica (en soles nominales) 2009 al 2016</t>
  </si>
  <si>
    <t>Ejecución del Presupuesto de Ingresos y Gastos según Clasificación Económica (en soles constantes del 2009) 2009 al 2016</t>
  </si>
  <si>
    <t>Ejecución del Presupuesto de Ingresos y Gastos según Clasificación Económica (en porcentaje del PBI) 2009 al 2016</t>
  </si>
  <si>
    <t>Evolución del Estado de Situación Financiera (Activo) 2009-2016</t>
  </si>
  <si>
    <t>Evolución del Estado de Situación Financiera (Pasivo) 2009-2016</t>
  </si>
  <si>
    <t>Evolución del Estado de Gestión 2009-2016</t>
  </si>
  <si>
    <t>TOTAL EMPRESAS PÚBLICAS</t>
  </si>
  <si>
    <t>2.1     PERSONAL Y OBLIGACIONES SOCIALES</t>
  </si>
  <si>
    <t>2.2     PENSIONES Y OTRAS PRESTACIONES SOCIALES</t>
  </si>
  <si>
    <t>2.3     BIENES Y SERVICIOS</t>
  </si>
  <si>
    <t>2.4     DONACIONES Y TRANSFERENCIAS</t>
  </si>
  <si>
    <t>2.5     OTROS GASTOS</t>
  </si>
  <si>
    <t>2.6     ADQUISICION DE ACTIVOS NO FINANCIEROS</t>
  </si>
  <si>
    <t>2.7     ADQUISICION DE ACTIVOS FINANCIEROS</t>
  </si>
  <si>
    <t>2.8     SERVICIO DE LA DEUDA PUBLICA</t>
  </si>
  <si>
    <t>1.1      IMPUESTOS Y CONTRIBUCIONES OBLIGATORIAS</t>
  </si>
  <si>
    <t>1.3      VENTA DE BIENES Y SERVICIOS Y DERECHOS ADMINISTRATIVOS</t>
  </si>
  <si>
    <t>1.4      DONACIONES Y TRANSFERENCIAS</t>
  </si>
  <si>
    <t>1.5      OTROS INGRESOS</t>
  </si>
  <si>
    <t>1.6      VENTA DE ACTIVOS NO FINANCIEROS</t>
  </si>
  <si>
    <t>1.7      VENTA DE ACTIVOS FINANCIEROS</t>
  </si>
  <si>
    <t>1.8      ENDEUDAMIENTO</t>
  </si>
  <si>
    <t>1.9      SALDOS DE BALANCE</t>
  </si>
  <si>
    <t>1.2      CONTRIBUCIONES SOCIALES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</si>
</sst>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dd/mm/yyyy\ hh:mm:ss"/>
    <numFmt numFmtId="189" formatCode="#,##0.0"/>
    <numFmt numFmtId="190" formatCode="_-* #,##0.00\ [$€-1]_-;\-* #,##0.00\ [$€-1]_-;_-* &quot;-&quot;??\ [$€-1]_-"/>
    <numFmt numFmtId="191" formatCode="#\ ###\ ###\ ###\ ##0.0_);[Red]\(#########\ ##0.0\)"/>
    <numFmt numFmtId="192" formatCode="0.000000"/>
    <numFmt numFmtId="193" formatCode="0.0"/>
    <numFmt numFmtId="194" formatCode="#,##0.0;[Red]\(#,##0.0\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#,##0.0;[Red]#,##0.0"/>
    <numFmt numFmtId="201" formatCode="###\ ###\ ##0.0\ ;\ \(###\ ###\ ##0.0\ \ \)"/>
    <numFmt numFmtId="202" formatCode="0.000"/>
    <numFmt numFmtId="203" formatCode="0.00000000"/>
    <numFmt numFmtId="204" formatCode="0.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i/>
      <sz val="8"/>
      <name val="Calibri Light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9"/>
      <color indexed="23"/>
      <name val="Calibri"/>
      <family val="0"/>
    </font>
    <font>
      <sz val="8.25"/>
      <color indexed="23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indexed="61"/>
      <name val="Calibri"/>
      <family val="2"/>
    </font>
    <font>
      <b/>
      <sz val="7"/>
      <color indexed="8"/>
      <name val="Calibri Light"/>
      <family val="2"/>
    </font>
    <font>
      <b/>
      <sz val="12"/>
      <color indexed="8"/>
      <name val="Calibri"/>
      <family val="2"/>
    </font>
    <font>
      <b/>
      <sz val="14"/>
      <color indexed="23"/>
      <name val="Calibri"/>
      <family val="0"/>
    </font>
    <font>
      <b/>
      <sz val="12"/>
      <color indexed="23"/>
      <name val="Calibri"/>
      <family val="0"/>
    </font>
    <font>
      <sz val="12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7"/>
      <color theme="1"/>
      <name val="Calibri Light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189" fontId="30" fillId="33" borderId="10" xfId="0" applyNumberFormat="1" applyFont="1" applyFill="1" applyBorder="1" applyAlignment="1">
      <alignment horizontal="right" vertical="top"/>
    </xf>
    <xf numFmtId="0" fontId="31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4" borderId="11" xfId="0" applyFont="1" applyFill="1" applyBorder="1" applyAlignment="1">
      <alignment/>
    </xf>
    <xf numFmtId="0" fontId="32" fillId="4" borderId="12" xfId="0" applyFont="1" applyFill="1" applyBorder="1" applyAlignment="1">
      <alignment/>
    </xf>
    <xf numFmtId="0" fontId="0" fillId="0" borderId="10" xfId="0" applyBorder="1" applyAlignment="1">
      <alignment/>
    </xf>
    <xf numFmtId="189" fontId="30" fillId="33" borderId="11" xfId="0" applyNumberFormat="1" applyFont="1" applyFill="1" applyBorder="1" applyAlignment="1">
      <alignment horizontal="right" vertical="top"/>
    </xf>
    <xf numFmtId="189" fontId="30" fillId="4" borderId="11" xfId="0" applyNumberFormat="1" applyFont="1" applyFill="1" applyBorder="1" applyAlignment="1">
      <alignment horizontal="right" vertical="top"/>
    </xf>
    <xf numFmtId="189" fontId="30" fillId="4" borderId="12" xfId="0" applyNumberFormat="1" applyFont="1" applyFill="1" applyBorder="1" applyAlignment="1">
      <alignment horizontal="right" vertical="top"/>
    </xf>
    <xf numFmtId="0" fontId="31" fillId="8" borderId="13" xfId="0" applyFont="1" applyFill="1" applyBorder="1" applyAlignment="1">
      <alignment horizontal="center" vertical="center"/>
    </xf>
    <xf numFmtId="49" fontId="33" fillId="8" borderId="10" xfId="0" applyNumberFormat="1" applyFont="1" applyFill="1" applyBorder="1" applyAlignment="1">
      <alignment horizontal="center" vertical="top" wrapText="1"/>
    </xf>
    <xf numFmtId="0" fontId="31" fillId="8" borderId="10" xfId="0" applyFont="1" applyFill="1" applyBorder="1" applyAlignment="1">
      <alignment/>
    </xf>
    <xf numFmtId="189" fontId="31" fillId="8" borderId="10" xfId="0" applyNumberFormat="1" applyFont="1" applyFill="1" applyBorder="1" applyAlignment="1">
      <alignment/>
    </xf>
    <xf numFmtId="49" fontId="34" fillId="33" borderId="0" xfId="0" applyNumberFormat="1" applyFont="1" applyFill="1" applyAlignment="1">
      <alignment vertical="top" wrapText="1"/>
    </xf>
    <xf numFmtId="0" fontId="35" fillId="0" borderId="0" xfId="0" applyFont="1" applyAlignment="1">
      <alignment/>
    </xf>
    <xf numFmtId="49" fontId="34" fillId="33" borderId="0" xfId="0" applyNumberFormat="1" applyFont="1" applyFill="1" applyAlignment="1">
      <alignment horizontal="center" vertical="top" wrapText="1"/>
    </xf>
    <xf numFmtId="189" fontId="0" fillId="0" borderId="0" xfId="0" applyNumberFormat="1" applyAlignment="1">
      <alignment/>
    </xf>
    <xf numFmtId="0" fontId="31" fillId="2" borderId="10" xfId="0" applyFont="1" applyFill="1" applyBorder="1" applyAlignment="1">
      <alignment/>
    </xf>
    <xf numFmtId="189" fontId="31" fillId="2" borderId="10" xfId="0" applyNumberFormat="1" applyFont="1" applyFill="1" applyBorder="1" applyAlignment="1">
      <alignment/>
    </xf>
    <xf numFmtId="0" fontId="31" fillId="14" borderId="10" xfId="0" applyFont="1" applyFill="1" applyBorder="1" applyAlignment="1">
      <alignment/>
    </xf>
    <xf numFmtId="189" fontId="31" fillId="14" borderId="10" xfId="0" applyNumberFormat="1" applyFont="1" applyFill="1" applyBorder="1" applyAlignment="1">
      <alignment/>
    </xf>
    <xf numFmtId="189" fontId="32" fillId="4" borderId="11" xfId="0" applyNumberFormat="1" applyFont="1" applyFill="1" applyBorder="1" applyAlignment="1">
      <alignment horizontal="right" vertical="top"/>
    </xf>
    <xf numFmtId="189" fontId="44" fillId="4" borderId="11" xfId="0" applyNumberFormat="1" applyFont="1" applyFill="1" applyBorder="1" applyAlignment="1">
      <alignment horizontal="right" vertical="top"/>
    </xf>
    <xf numFmtId="0" fontId="60" fillId="14" borderId="14" xfId="0" applyFont="1" applyFill="1" applyBorder="1" applyAlignment="1">
      <alignment/>
    </xf>
    <xf numFmtId="189" fontId="60" fillId="14" borderId="14" xfId="0" applyNumberFormat="1" applyFont="1" applyFill="1" applyBorder="1" applyAlignment="1">
      <alignment/>
    </xf>
    <xf numFmtId="189" fontId="60" fillId="14" borderId="15" xfId="0" applyNumberFormat="1" applyFont="1" applyFill="1" applyBorder="1" applyAlignment="1">
      <alignment/>
    </xf>
    <xf numFmtId="9" fontId="60" fillId="14" borderId="16" xfId="60" applyFont="1" applyFill="1" applyBorder="1" applyAlignment="1">
      <alignment/>
    </xf>
    <xf numFmtId="9" fontId="60" fillId="14" borderId="14" xfId="60" applyFont="1" applyFill="1" applyBorder="1" applyAlignment="1">
      <alignment/>
    </xf>
    <xf numFmtId="9" fontId="44" fillId="34" borderId="17" xfId="60" applyFont="1" applyFill="1" applyBorder="1" applyAlignment="1">
      <alignment/>
    </xf>
    <xf numFmtId="9" fontId="44" fillId="34" borderId="11" xfId="60" applyFont="1" applyFill="1" applyBorder="1" applyAlignment="1">
      <alignment/>
    </xf>
    <xf numFmtId="0" fontId="61" fillId="0" borderId="11" xfId="0" applyFont="1" applyBorder="1" applyAlignment="1">
      <alignment/>
    </xf>
    <xf numFmtId="0" fontId="60" fillId="14" borderId="11" xfId="0" applyFont="1" applyFill="1" applyBorder="1" applyAlignment="1">
      <alignment/>
    </xf>
    <xf numFmtId="189" fontId="60" fillId="14" borderId="11" xfId="0" applyNumberFormat="1" applyFont="1" applyFill="1" applyBorder="1" applyAlignment="1">
      <alignment/>
    </xf>
    <xf numFmtId="189" fontId="60" fillId="14" borderId="0" xfId="0" applyNumberFormat="1" applyFont="1" applyFill="1" applyBorder="1" applyAlignment="1">
      <alignment/>
    </xf>
    <xf numFmtId="9" fontId="60" fillId="14" borderId="17" xfId="60" applyFont="1" applyFill="1" applyBorder="1" applyAlignment="1">
      <alignment/>
    </xf>
    <xf numFmtId="9" fontId="60" fillId="14" borderId="11" xfId="60" applyFont="1" applyFill="1" applyBorder="1" applyAlignment="1">
      <alignment/>
    </xf>
    <xf numFmtId="9" fontId="44" fillId="34" borderId="18" xfId="60" applyFont="1" applyFill="1" applyBorder="1" applyAlignment="1">
      <alignment/>
    </xf>
    <xf numFmtId="9" fontId="44" fillId="34" borderId="12" xfId="60" applyFont="1" applyFill="1" applyBorder="1" applyAlignment="1">
      <alignment/>
    </xf>
    <xf numFmtId="189" fontId="60" fillId="14" borderId="10" xfId="0" applyNumberFormat="1" applyFont="1" applyFill="1" applyBorder="1" applyAlignment="1">
      <alignment/>
    </xf>
    <xf numFmtId="9" fontId="60" fillId="14" borderId="10" xfId="60" applyFont="1" applyFill="1" applyBorder="1" applyAlignment="1">
      <alignment/>
    </xf>
    <xf numFmtId="4" fontId="0" fillId="0" borderId="0" xfId="0" applyNumberFormat="1" applyAlignment="1">
      <alignment/>
    </xf>
    <xf numFmtId="0" fontId="60" fillId="0" borderId="0" xfId="0" applyFont="1" applyBorder="1" applyAlignment="1">
      <alignment horizontal="center"/>
    </xf>
    <xf numFmtId="0" fontId="60" fillId="14" borderId="10" xfId="0" applyFont="1" applyFill="1" applyBorder="1" applyAlignment="1">
      <alignment/>
    </xf>
    <xf numFmtId="189" fontId="60" fillId="14" borderId="12" xfId="0" applyNumberFormat="1" applyFont="1" applyFill="1" applyBorder="1" applyAlignment="1">
      <alignment/>
    </xf>
    <xf numFmtId="189" fontId="0" fillId="0" borderId="0" xfId="0" applyNumberFormat="1" applyFill="1" applyBorder="1" applyAlignment="1">
      <alignment/>
    </xf>
    <xf numFmtId="0" fontId="60" fillId="0" borderId="0" xfId="0" applyFont="1" applyAlignment="1">
      <alignment/>
    </xf>
    <xf numFmtId="193" fontId="60" fillId="14" borderId="14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60" fillId="14" borderId="11" xfId="0" applyNumberFormat="1" applyFont="1" applyFill="1" applyBorder="1" applyAlignment="1">
      <alignment/>
    </xf>
    <xf numFmtId="193" fontId="60" fillId="14" borderId="10" xfId="0" applyNumberFormat="1" applyFont="1" applyFill="1" applyBorder="1" applyAlignment="1">
      <alignment/>
    </xf>
    <xf numFmtId="0" fontId="60" fillId="14" borderId="14" xfId="0" applyFont="1" applyFill="1" applyBorder="1" applyAlignment="1">
      <alignment horizontal="center"/>
    </xf>
    <xf numFmtId="0" fontId="60" fillId="14" borderId="12" xfId="0" applyFont="1" applyFill="1" applyBorder="1" applyAlignment="1">
      <alignment horizontal="center"/>
    </xf>
    <xf numFmtId="0" fontId="60" fillId="14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194" fontId="5" fillId="0" borderId="0" xfId="0" applyNumberFormat="1" applyFont="1" applyBorder="1" applyAlignment="1">
      <alignment horizontal="right" vertical="top"/>
    </xf>
    <xf numFmtId="194" fontId="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37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189" fontId="32" fillId="0" borderId="11" xfId="0" applyNumberFormat="1" applyFont="1" applyBorder="1" applyAlignment="1">
      <alignment/>
    </xf>
    <xf numFmtId="189" fontId="32" fillId="0" borderId="0" xfId="0" applyNumberFormat="1" applyFont="1" applyBorder="1" applyAlignment="1">
      <alignment/>
    </xf>
    <xf numFmtId="0" fontId="32" fillId="0" borderId="12" xfId="0" applyFont="1" applyBorder="1" applyAlignment="1">
      <alignment/>
    </xf>
    <xf numFmtId="189" fontId="32" fillId="0" borderId="12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189" fontId="32" fillId="0" borderId="0" xfId="0" applyNumberFormat="1" applyFont="1" applyAlignment="1">
      <alignment/>
    </xf>
    <xf numFmtId="0" fontId="32" fillId="14" borderId="10" xfId="0" applyFont="1" applyFill="1" applyBorder="1" applyAlignment="1">
      <alignment horizontal="center"/>
    </xf>
    <xf numFmtId="9" fontId="32" fillId="0" borderId="11" xfId="60" applyFont="1" applyBorder="1" applyAlignment="1">
      <alignment/>
    </xf>
    <xf numFmtId="9" fontId="32" fillId="0" borderId="12" xfId="60" applyFont="1" applyBorder="1" applyAlignment="1">
      <alignment/>
    </xf>
    <xf numFmtId="189" fontId="32" fillId="0" borderId="20" xfId="0" applyNumberFormat="1" applyFont="1" applyBorder="1" applyAlignment="1">
      <alignment/>
    </xf>
    <xf numFmtId="9" fontId="32" fillId="0" borderId="0" xfId="60" applyFont="1" applyAlignment="1">
      <alignment/>
    </xf>
    <xf numFmtId="9" fontId="32" fillId="0" borderId="0" xfId="60" applyFont="1" applyBorder="1" applyAlignment="1">
      <alignment/>
    </xf>
    <xf numFmtId="4" fontId="32" fillId="0" borderId="0" xfId="0" applyNumberFormat="1" applyFont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93" fontId="32" fillId="0" borderId="11" xfId="0" applyNumberFormat="1" applyFont="1" applyBorder="1" applyAlignment="1">
      <alignment/>
    </xf>
    <xf numFmtId="193" fontId="32" fillId="0" borderId="12" xfId="0" applyNumberFormat="1" applyFont="1" applyBorder="1" applyAlignment="1">
      <alignment/>
    </xf>
    <xf numFmtId="193" fontId="32" fillId="0" borderId="0" xfId="0" applyNumberFormat="1" applyFont="1" applyAlignment="1">
      <alignment/>
    </xf>
    <xf numFmtId="3" fontId="32" fillId="0" borderId="14" xfId="0" applyNumberFormat="1" applyFont="1" applyFill="1" applyBorder="1" applyAlignment="1" applyProtection="1">
      <alignment horizontal="center" vertical="center"/>
      <protection/>
    </xf>
    <xf numFmtId="3" fontId="32" fillId="0" borderId="11" xfId="0" applyNumberFormat="1" applyFont="1" applyFill="1" applyBorder="1" applyAlignment="1" applyProtection="1">
      <alignment horizontal="center" vertical="center"/>
      <protection/>
    </xf>
    <xf numFmtId="3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Border="1" applyAlignment="1">
      <alignment/>
    </xf>
    <xf numFmtId="189" fontId="32" fillId="0" borderId="14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34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49" fontId="33" fillId="0" borderId="0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45" fillId="35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194" fontId="38" fillId="0" borderId="10" xfId="0" applyNumberFormat="1" applyFont="1" applyBorder="1" applyAlignment="1">
      <alignment horizontal="right" vertical="top"/>
    </xf>
    <xf numFmtId="194" fontId="30" fillId="0" borderId="10" xfId="0" applyNumberFormat="1" applyFont="1" applyBorder="1" applyAlignment="1">
      <alignment horizontal="right" vertical="top"/>
    </xf>
    <xf numFmtId="49" fontId="44" fillId="0" borderId="10" xfId="0" applyNumberFormat="1" applyFont="1" applyFill="1" applyBorder="1" applyAlignment="1">
      <alignment horizontal="left" vertical="top" wrapText="1"/>
    </xf>
    <xf numFmtId="194" fontId="30" fillId="0" borderId="10" xfId="0" applyNumberFormat="1" applyFont="1" applyFill="1" applyBorder="1" applyAlignment="1">
      <alignment horizontal="right" vertical="top"/>
    </xf>
    <xf numFmtId="49" fontId="44" fillId="0" borderId="10" xfId="0" applyNumberFormat="1" applyFont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left" vertical="center" wrapText="1"/>
    </xf>
    <xf numFmtId="194" fontId="33" fillId="36" borderId="10" xfId="0" applyNumberFormat="1" applyFont="1" applyFill="1" applyBorder="1" applyAlignment="1">
      <alignment horizontal="right" vertical="center"/>
    </xf>
    <xf numFmtId="194" fontId="33" fillId="36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194" fontId="30" fillId="0" borderId="21" xfId="0" applyNumberFormat="1" applyFont="1" applyBorder="1" applyAlignment="1">
      <alignment horizontal="right" vertical="top"/>
    </xf>
    <xf numFmtId="194" fontId="30" fillId="34" borderId="10" xfId="0" applyNumberFormat="1" applyFont="1" applyFill="1" applyBorder="1" applyAlignment="1">
      <alignment horizontal="right" vertical="top"/>
    </xf>
    <xf numFmtId="193" fontId="32" fillId="0" borderId="10" xfId="0" applyNumberFormat="1" applyFont="1" applyBorder="1" applyAlignment="1">
      <alignment/>
    </xf>
    <xf numFmtId="193" fontId="31" fillId="36" borderId="10" xfId="0" applyNumberFormat="1" applyFont="1" applyFill="1" applyBorder="1" applyAlignment="1">
      <alignment vertical="center"/>
    </xf>
    <xf numFmtId="193" fontId="32" fillId="34" borderId="10" xfId="0" applyNumberFormat="1" applyFont="1" applyFill="1" applyBorder="1" applyAlignment="1">
      <alignment vertical="center"/>
    </xf>
    <xf numFmtId="49" fontId="30" fillId="34" borderId="10" xfId="0" applyNumberFormat="1" applyFont="1" applyFill="1" applyBorder="1" applyAlignment="1">
      <alignment horizontal="left" vertical="top" wrapText="1"/>
    </xf>
    <xf numFmtId="49" fontId="33" fillId="36" borderId="10" xfId="0" applyNumberFormat="1" applyFont="1" applyFill="1" applyBorder="1" applyAlignment="1">
      <alignment horizontal="left" vertical="top" wrapText="1"/>
    </xf>
    <xf numFmtId="193" fontId="31" fillId="36" borderId="10" xfId="0" applyNumberFormat="1" applyFont="1" applyFill="1" applyBorder="1" applyAlignment="1">
      <alignment/>
    </xf>
    <xf numFmtId="193" fontId="32" fillId="34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22" xfId="0" applyFont="1" applyBorder="1" applyAlignment="1">
      <alignment/>
    </xf>
    <xf numFmtId="0" fontId="31" fillId="0" borderId="16" xfId="57" applyFont="1" applyBorder="1" applyAlignment="1">
      <alignment horizontal="left" vertical="center" wrapText="1"/>
      <protection/>
    </xf>
    <xf numFmtId="0" fontId="31" fillId="0" borderId="14" xfId="57" applyFont="1" applyBorder="1" applyAlignment="1">
      <alignment horizontal="left" vertical="center" wrapText="1"/>
      <protection/>
    </xf>
    <xf numFmtId="0" fontId="31" fillId="0" borderId="17" xfId="57" applyFont="1" applyBorder="1" applyAlignment="1">
      <alignment vertical="center" wrapText="1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32" fillId="0" borderId="17" xfId="57" applyFont="1" applyBorder="1">
      <alignment/>
      <protection/>
    </xf>
    <xf numFmtId="0" fontId="32" fillId="0" borderId="0" xfId="57" applyFont="1" applyBorder="1" applyAlignment="1">
      <alignment horizontal="center"/>
      <protection/>
    </xf>
    <xf numFmtId="194" fontId="30" fillId="0" borderId="0" xfId="0" applyNumberFormat="1" applyFont="1" applyBorder="1" applyAlignment="1">
      <alignment horizontal="right" vertical="top"/>
    </xf>
    <xf numFmtId="194" fontId="30" fillId="0" borderId="22" xfId="0" applyNumberFormat="1" applyFont="1" applyBorder="1" applyAlignment="1">
      <alignment horizontal="right" vertical="top"/>
    </xf>
    <xf numFmtId="0" fontId="31" fillId="37" borderId="10" xfId="57" applyFont="1" applyFill="1" applyBorder="1" applyAlignment="1">
      <alignment vertical="center" wrapText="1"/>
      <protection/>
    </xf>
    <xf numFmtId="194" fontId="33" fillId="37" borderId="10" xfId="0" applyNumberFormat="1" applyFont="1" applyFill="1" applyBorder="1" applyAlignment="1">
      <alignment horizontal="right" vertical="top"/>
    </xf>
    <xf numFmtId="0" fontId="31" fillId="0" borderId="17" xfId="57" applyFont="1" applyBorder="1" applyAlignment="1">
      <alignment horizontal="left" vertical="center" wrapText="1"/>
      <protection/>
    </xf>
    <xf numFmtId="0" fontId="31" fillId="0" borderId="0" xfId="57" applyFont="1" applyBorder="1" applyAlignment="1">
      <alignment horizontal="center" vertical="center"/>
      <protection/>
    </xf>
    <xf numFmtId="0" fontId="31" fillId="0" borderId="23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left"/>
      <protection/>
    </xf>
    <xf numFmtId="194" fontId="60" fillId="37" borderId="10" xfId="57" applyNumberFormat="1" applyFont="1" applyFill="1" applyBorder="1" applyAlignment="1">
      <alignment horizontal="right" wrapText="1"/>
      <protection/>
    </xf>
    <xf numFmtId="194" fontId="31" fillId="37" borderId="10" xfId="57" applyNumberFormat="1" applyFont="1" applyFill="1" applyBorder="1" applyAlignment="1">
      <alignment horizontal="right" wrapText="1"/>
      <protection/>
    </xf>
    <xf numFmtId="0" fontId="32" fillId="0" borderId="17" xfId="57" applyFont="1" applyBorder="1" applyAlignment="1">
      <alignment wrapText="1"/>
      <protection/>
    </xf>
    <xf numFmtId="0" fontId="31" fillId="8" borderId="10" xfId="57" applyFont="1" applyFill="1" applyBorder="1" applyAlignment="1">
      <alignment vertical="center" wrapText="1"/>
      <protection/>
    </xf>
    <xf numFmtId="194" fontId="60" fillId="8" borderId="10" xfId="57" applyNumberFormat="1" applyFont="1" applyFill="1" applyBorder="1" applyAlignment="1">
      <alignment horizontal="right" wrapText="1"/>
      <protection/>
    </xf>
    <xf numFmtId="194" fontId="31" fillId="8" borderId="10" xfId="57" applyNumberFormat="1" applyFont="1" applyFill="1" applyBorder="1" applyAlignment="1">
      <alignment horizontal="right" wrapText="1"/>
      <protection/>
    </xf>
    <xf numFmtId="194" fontId="30" fillId="0" borderId="0" xfId="0" applyNumberFormat="1" applyFont="1" applyBorder="1" applyAlignment="1">
      <alignment horizontal="right"/>
    </xf>
    <xf numFmtId="194" fontId="30" fillId="0" borderId="22" xfId="0" applyNumberFormat="1" applyFont="1" applyBorder="1" applyAlignment="1">
      <alignment horizontal="right"/>
    </xf>
    <xf numFmtId="0" fontId="60" fillId="8" borderId="10" xfId="57" applyFont="1" applyFill="1" applyBorder="1" applyAlignment="1">
      <alignment vertical="center" wrapText="1"/>
      <protection/>
    </xf>
    <xf numFmtId="0" fontId="32" fillId="0" borderId="23" xfId="57" applyFont="1" applyBorder="1" applyAlignment="1">
      <alignment horizontal="center"/>
      <protection/>
    </xf>
    <xf numFmtId="0" fontId="3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14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9" fontId="32" fillId="0" borderId="17" xfId="60" applyFont="1" applyBorder="1" applyAlignment="1">
      <alignment/>
    </xf>
    <xf numFmtId="9" fontId="32" fillId="0" borderId="18" xfId="60" applyFont="1" applyBorder="1" applyAlignment="1">
      <alignment/>
    </xf>
    <xf numFmtId="189" fontId="44" fillId="34" borderId="11" xfId="0" applyNumberFormat="1" applyFont="1" applyFill="1" applyBorder="1" applyAlignment="1">
      <alignment/>
    </xf>
    <xf numFmtId="189" fontId="44" fillId="34" borderId="12" xfId="0" applyNumberFormat="1" applyFont="1" applyFill="1" applyBorder="1" applyAlignment="1">
      <alignment/>
    </xf>
    <xf numFmtId="0" fontId="61" fillId="0" borderId="17" xfId="0" applyFont="1" applyBorder="1" applyAlignment="1">
      <alignment/>
    </xf>
    <xf numFmtId="0" fontId="60" fillId="14" borderId="17" xfId="0" applyFont="1" applyFill="1" applyBorder="1" applyAlignment="1">
      <alignment/>
    </xf>
    <xf numFmtId="0" fontId="60" fillId="14" borderId="13" xfId="0" applyFont="1" applyFill="1" applyBorder="1" applyAlignment="1">
      <alignment/>
    </xf>
    <xf numFmtId="0" fontId="60" fillId="14" borderId="16" xfId="0" applyFont="1" applyFill="1" applyBorder="1" applyAlignment="1">
      <alignment/>
    </xf>
    <xf numFmtId="0" fontId="32" fillId="0" borderId="12" xfId="0" applyFont="1" applyFill="1" applyBorder="1" applyAlignment="1">
      <alignment horizontal="center" vertical="center"/>
    </xf>
    <xf numFmtId="0" fontId="60" fillId="9" borderId="10" xfId="0" applyFont="1" applyFill="1" applyBorder="1" applyAlignment="1" applyProtection="1">
      <alignment horizontal="center" vertical="center"/>
      <protection/>
    </xf>
    <xf numFmtId="0" fontId="60" fillId="9" borderId="10" xfId="0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/>
    </xf>
    <xf numFmtId="194" fontId="33" fillId="37" borderId="13" xfId="0" applyNumberFormat="1" applyFont="1" applyFill="1" applyBorder="1" applyAlignment="1">
      <alignment horizontal="right" vertical="top"/>
    </xf>
    <xf numFmtId="0" fontId="44" fillId="0" borderId="24" xfId="0" applyFont="1" applyBorder="1" applyAlignment="1">
      <alignment/>
    </xf>
    <xf numFmtId="194" fontId="60" fillId="37" borderId="13" xfId="57" applyNumberFormat="1" applyFont="1" applyFill="1" applyBorder="1" applyAlignment="1">
      <alignment horizontal="right" wrapText="1"/>
      <protection/>
    </xf>
    <xf numFmtId="194" fontId="60" fillId="8" borderId="13" xfId="57" applyNumberFormat="1" applyFont="1" applyFill="1" applyBorder="1" applyAlignment="1">
      <alignment horizontal="right" wrapText="1"/>
      <protection/>
    </xf>
    <xf numFmtId="194" fontId="31" fillId="8" borderId="13" xfId="57" applyNumberFormat="1" applyFont="1" applyFill="1" applyBorder="1" applyAlignment="1">
      <alignment horizontal="right" wrapText="1"/>
      <protection/>
    </xf>
    <xf numFmtId="199" fontId="0" fillId="0" borderId="0" xfId="60" applyNumberFormat="1" applyFont="1" applyAlignment="1">
      <alignment/>
    </xf>
    <xf numFmtId="192" fontId="32" fillId="0" borderId="14" xfId="0" applyNumberFormat="1" applyFont="1" applyBorder="1" applyAlignment="1">
      <alignment horizontal="center" vertical="center"/>
    </xf>
    <xf numFmtId="192" fontId="32" fillId="0" borderId="11" xfId="0" applyNumberFormat="1" applyFont="1" applyBorder="1" applyAlignment="1">
      <alignment horizontal="center" vertical="center"/>
    </xf>
    <xf numFmtId="192" fontId="32" fillId="0" borderId="12" xfId="0" applyNumberFormat="1" applyFont="1" applyBorder="1" applyAlignment="1">
      <alignment horizontal="center" vertical="center"/>
    </xf>
    <xf numFmtId="0" fontId="60" fillId="24" borderId="14" xfId="0" applyFont="1" applyFill="1" applyBorder="1" applyAlignment="1">
      <alignment horizontal="center" vertical="center"/>
    </xf>
    <xf numFmtId="10" fontId="0" fillId="0" borderId="0" xfId="60" applyNumberFormat="1" applyFont="1" applyAlignment="1">
      <alignment/>
    </xf>
    <xf numFmtId="0" fontId="60" fillId="14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60" fillId="0" borderId="0" xfId="0" applyFont="1" applyAlignment="1">
      <alignment/>
    </xf>
    <xf numFmtId="0" fontId="31" fillId="38" borderId="0" xfId="0" applyFont="1" applyFill="1" applyBorder="1" applyAlignment="1">
      <alignment/>
    </xf>
    <xf numFmtId="189" fontId="31" fillId="38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189" fontId="30" fillId="33" borderId="14" xfId="0" applyNumberFormat="1" applyFont="1" applyFill="1" applyBorder="1" applyAlignment="1">
      <alignment horizontal="right" vertical="top"/>
    </xf>
    <xf numFmtId="189" fontId="32" fillId="4" borderId="12" xfId="0" applyNumberFormat="1" applyFont="1" applyFill="1" applyBorder="1" applyAlignment="1">
      <alignment horizontal="right" vertical="top"/>
    </xf>
    <xf numFmtId="189" fontId="44" fillId="4" borderId="12" xfId="0" applyNumberFormat="1" applyFont="1" applyFill="1" applyBorder="1" applyAlignment="1">
      <alignment horizontal="right" vertical="top"/>
    </xf>
    <xf numFmtId="0" fontId="32" fillId="14" borderId="12" xfId="0" applyFont="1" applyFill="1" applyBorder="1" applyAlignment="1">
      <alignment horizontal="center"/>
    </xf>
    <xf numFmtId="199" fontId="60" fillId="14" borderId="10" xfId="60" applyNumberFormat="1" applyFont="1" applyFill="1" applyBorder="1" applyAlignment="1">
      <alignment/>
    </xf>
    <xf numFmtId="0" fontId="32" fillId="0" borderId="12" xfId="0" applyFont="1" applyBorder="1" applyAlignment="1">
      <alignment horizontal="center" vertical="center"/>
    </xf>
    <xf numFmtId="189" fontId="32" fillId="34" borderId="11" xfId="0" applyNumberFormat="1" applyFont="1" applyFill="1" applyBorder="1" applyAlignment="1">
      <alignment/>
    </xf>
    <xf numFmtId="49" fontId="45" fillId="35" borderId="10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31" fillId="0" borderId="15" xfId="57" applyFont="1" applyBorder="1" applyAlignment="1">
      <alignment horizontal="left" vertical="center" wrapText="1"/>
      <protection/>
    </xf>
    <xf numFmtId="194" fontId="33" fillId="37" borderId="20" xfId="0" applyNumberFormat="1" applyFont="1" applyFill="1" applyBorder="1" applyAlignment="1">
      <alignment horizontal="right" vertical="top"/>
    </xf>
    <xf numFmtId="194" fontId="60" fillId="37" borderId="20" xfId="57" applyNumberFormat="1" applyFont="1" applyFill="1" applyBorder="1" applyAlignment="1">
      <alignment horizontal="right" wrapText="1"/>
      <protection/>
    </xf>
    <xf numFmtId="194" fontId="31" fillId="37" borderId="20" xfId="57" applyNumberFormat="1" applyFont="1" applyFill="1" applyBorder="1" applyAlignment="1">
      <alignment horizontal="right" wrapText="1"/>
      <protection/>
    </xf>
    <xf numFmtId="194" fontId="31" fillId="8" borderId="20" xfId="57" applyNumberFormat="1" applyFont="1" applyFill="1" applyBorder="1" applyAlignment="1">
      <alignment horizontal="right" wrapText="1"/>
      <protection/>
    </xf>
    <xf numFmtId="194" fontId="60" fillId="8" borderId="20" xfId="57" applyNumberFormat="1" applyFont="1" applyFill="1" applyBorder="1" applyAlignment="1">
      <alignment horizontal="right" wrapText="1"/>
      <protection/>
    </xf>
    <xf numFmtId="0" fontId="7" fillId="0" borderId="19" xfId="55" applyFont="1" applyBorder="1" applyAlignment="1">
      <alignment horizontal="center"/>
      <protection/>
    </xf>
    <xf numFmtId="0" fontId="60" fillId="14" borderId="0" xfId="0" applyFont="1" applyFill="1" applyBorder="1" applyAlignment="1">
      <alignment horizontal="left" vertical="center"/>
    </xf>
    <xf numFmtId="189" fontId="60" fillId="14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34" fillId="33" borderId="0" xfId="0" applyNumberFormat="1" applyFont="1" applyFill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14" borderId="14" xfId="0" applyFont="1" applyFill="1" applyBorder="1" applyAlignment="1">
      <alignment horizontal="center" vertical="center" wrapText="1"/>
    </xf>
    <xf numFmtId="0" fontId="60" fillId="14" borderId="12" xfId="0" applyFont="1" applyFill="1" applyBorder="1" applyAlignment="1">
      <alignment horizontal="center" vertical="center" wrapText="1"/>
    </xf>
    <xf numFmtId="4" fontId="32" fillId="14" borderId="14" xfId="0" applyNumberFormat="1" applyFont="1" applyFill="1" applyBorder="1" applyAlignment="1">
      <alignment horizontal="center" vertical="center" wrapText="1"/>
    </xf>
    <xf numFmtId="4" fontId="32" fillId="14" borderId="12" xfId="0" applyNumberFormat="1" applyFont="1" applyFill="1" applyBorder="1" applyAlignment="1">
      <alignment horizontal="center" vertical="center" wrapText="1"/>
    </xf>
    <xf numFmtId="49" fontId="32" fillId="14" borderId="14" xfId="0" applyNumberFormat="1" applyFont="1" applyFill="1" applyBorder="1" applyAlignment="1">
      <alignment horizontal="center" vertical="center" wrapText="1"/>
    </xf>
    <xf numFmtId="49" fontId="32" fillId="14" borderId="12" xfId="0" applyNumberFormat="1" applyFont="1" applyFill="1" applyBorder="1" applyAlignment="1">
      <alignment horizontal="center" vertical="center" wrapText="1"/>
    </xf>
    <xf numFmtId="0" fontId="60" fillId="14" borderId="13" xfId="0" applyFont="1" applyFill="1" applyBorder="1" applyAlignment="1">
      <alignment horizontal="center"/>
    </xf>
    <xf numFmtId="0" fontId="60" fillId="14" borderId="20" xfId="0" applyFont="1" applyFill="1" applyBorder="1" applyAlignment="1">
      <alignment horizontal="center"/>
    </xf>
    <xf numFmtId="0" fontId="60" fillId="14" borderId="21" xfId="0" applyFont="1" applyFill="1" applyBorder="1" applyAlignment="1">
      <alignment horizontal="center"/>
    </xf>
    <xf numFmtId="0" fontId="60" fillId="14" borderId="18" xfId="0" applyFont="1" applyFill="1" applyBorder="1" applyAlignment="1">
      <alignment horizontal="center"/>
    </xf>
    <xf numFmtId="0" fontId="60" fillId="14" borderId="19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60" fillId="14" borderId="14" xfId="0" applyNumberFormat="1" applyFont="1" applyFill="1" applyBorder="1" applyAlignment="1">
      <alignment horizontal="center" vertical="center" wrapText="1"/>
    </xf>
    <xf numFmtId="49" fontId="60" fillId="14" borderId="12" xfId="0" applyNumberFormat="1" applyFont="1" applyFill="1" applyBorder="1" applyAlignment="1">
      <alignment horizontal="center" vertical="center" wrapText="1"/>
    </xf>
    <xf numFmtId="4" fontId="60" fillId="14" borderId="14" xfId="0" applyNumberFormat="1" applyFont="1" applyFill="1" applyBorder="1" applyAlignment="1">
      <alignment horizontal="center" vertical="center" wrapText="1"/>
    </xf>
    <xf numFmtId="4" fontId="60" fillId="14" borderId="12" xfId="0" applyNumberFormat="1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49" fontId="33" fillId="0" borderId="0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49" fontId="45" fillId="35" borderId="14" xfId="0" applyNumberFormat="1" applyFont="1" applyFill="1" applyBorder="1" applyAlignment="1">
      <alignment horizontal="center" vertical="center" wrapText="1"/>
    </xf>
    <xf numFmtId="49" fontId="45" fillId="35" borderId="12" xfId="0" applyNumberFormat="1" applyFont="1" applyFill="1" applyBorder="1" applyAlignment="1">
      <alignment horizontal="center" vertical="center" wrapText="1"/>
    </xf>
    <xf numFmtId="49" fontId="45" fillId="35" borderId="20" xfId="0" applyNumberFormat="1" applyFont="1" applyFill="1" applyBorder="1" applyAlignment="1">
      <alignment horizontal="center" vertical="top" wrapText="1"/>
    </xf>
    <xf numFmtId="49" fontId="45" fillId="35" borderId="21" xfId="0" applyNumberFormat="1" applyFont="1" applyFill="1" applyBorder="1" applyAlignment="1">
      <alignment horizontal="center" vertical="top" wrapText="1"/>
    </xf>
    <xf numFmtId="49" fontId="33" fillId="0" borderId="0" xfId="0" applyNumberFormat="1" applyFont="1" applyAlignment="1">
      <alignment horizontal="center" vertical="top" wrapText="1"/>
    </xf>
    <xf numFmtId="0" fontId="45" fillId="35" borderId="12" xfId="0" applyFont="1" applyFill="1" applyBorder="1" applyAlignment="1">
      <alignment horizontal="center" vertical="center"/>
    </xf>
    <xf numFmtId="49" fontId="45" fillId="35" borderId="13" xfId="0" applyNumberFormat="1" applyFont="1" applyFill="1" applyBorder="1" applyAlignment="1">
      <alignment horizontal="center" vertical="top" wrapText="1"/>
    </xf>
    <xf numFmtId="0" fontId="31" fillId="8" borderId="10" xfId="56" applyFont="1" applyFill="1" applyBorder="1" applyAlignment="1">
      <alignment horizontal="center" vertical="center" wrapText="1"/>
      <protection/>
    </xf>
    <xf numFmtId="0" fontId="35" fillId="0" borderId="0" xfId="55" applyFont="1" applyAlignment="1">
      <alignment horizontal="center"/>
      <protection/>
    </xf>
    <xf numFmtId="0" fontId="62" fillId="0" borderId="0" xfId="0" applyFont="1" applyBorder="1" applyAlignment="1">
      <alignment horizontal="right"/>
    </xf>
    <xf numFmtId="0" fontId="32" fillId="8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6CAF0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FUENTES DE FINANCIAMIENTO</a:t>
            </a:r>
          </a:p>
        </c:rich>
      </c:tx>
      <c:layout>
        <c:manualLayout>
          <c:xMode val="factor"/>
          <c:yMode val="factor"/>
          <c:x val="0.010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825"/>
          <c:w val="0.968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'C01'!$C$29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'C01'!$D$7:$K$7</c:f>
              <c:strCache/>
            </c:strRef>
          </c:cat>
          <c:val>
            <c:numRef>
              <c:f>'C01'!$D$29:$K$29</c:f>
              <c:numCache/>
            </c:numRef>
          </c:val>
        </c:ser>
        <c:ser>
          <c:idx val="1"/>
          <c:order val="1"/>
          <c:tx>
            <c:strRef>
              <c:f>'C01'!$C$30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'C01'!$D$7:$K$7</c:f>
              <c:strCache/>
            </c:strRef>
          </c:cat>
          <c:val>
            <c:numRef>
              <c:f>'C01'!$D$30:$K$30</c:f>
              <c:numCache/>
            </c:numRef>
          </c:val>
        </c:ser>
        <c:ser>
          <c:idx val="2"/>
          <c:order val="2"/>
          <c:tx>
            <c:strRef>
              <c:f>'C01'!$C$31</c:f>
              <c:strCache>
                <c:ptCount val="1"/>
                <c:pt idx="0">
                  <c:v>TOTAL SALDOS DE BALANCE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'C01'!$D$7:$K$7</c:f>
              <c:strCache/>
            </c:strRef>
          </c:cat>
          <c:val>
            <c:numRef>
              <c:f>'C01'!$D$31:$K$31</c:f>
              <c:numCache/>
            </c:numRef>
          </c:val>
        </c:ser>
        <c:overlap val="-27"/>
        <c:gapWidth val="219"/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</c:scaling>
        <c:axPos val="l"/>
        <c:delete val="1"/>
        <c:majorTickMark val="out"/>
        <c:minorTickMark val="none"/>
        <c:tickLblPos val="nextTo"/>
        <c:crossAx val="57835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75"/>
          <c:y val="0.9365"/>
          <c:w val="0.556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GASTOS - GOBIERNO NACIONAL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 (miles de soles)</a:t>
            </a:r>
          </a:p>
        </c:rich>
      </c:tx>
      <c:layout>
        <c:manualLayout>
          <c:xMode val="factor"/>
          <c:yMode val="factor"/>
          <c:x val="0.011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525"/>
          <c:w val="0.970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'C07'!$D$7:$K$7</c:f>
              <c:numCache/>
            </c:numRef>
          </c:cat>
          <c:val>
            <c:numRef>
              <c:f>'C07'!$D$16:$K$16</c:f>
              <c:numCache/>
            </c:numRef>
          </c:val>
        </c:ser>
        <c:overlap val="-70"/>
        <c:gapWidth val="355"/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2682512"/>
        <c:crosses val="autoZero"/>
        <c:auto val="1"/>
        <c:lblOffset val="100"/>
        <c:tickLblSkip val="1"/>
        <c:noMultiLvlLbl val="0"/>
      </c:catAx>
      <c:valAx>
        <c:axId val="32682512"/>
        <c:scaling>
          <c:orientation val="minMax"/>
        </c:scaling>
        <c:axPos val="l"/>
        <c:delete val="1"/>
        <c:majorTickMark val="out"/>
        <c:minorTickMark val="none"/>
        <c:tickLblPos val="nextTo"/>
        <c:crossAx val="18544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INGRESOS - GOBIERNO REGIONAL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 (miles de soles)</a:t>
            </a:r>
          </a:p>
        </c:rich>
      </c:tx>
      <c:layout>
        <c:manualLayout>
          <c:xMode val="factor"/>
          <c:yMode val="factor"/>
          <c:x val="0.014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515"/>
          <c:w val="0.969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'C08'!$D$7:$K$7</c:f>
              <c:numCache/>
            </c:numRef>
          </c:cat>
          <c:val>
            <c:numRef>
              <c:f>'C08'!$D$19:$K$19</c:f>
              <c:numCache/>
            </c:numRef>
          </c:val>
        </c:ser>
        <c:overlap val="-70"/>
        <c:gapWidth val="355"/>
        <c:axId val="25707153"/>
        <c:axId val="30037786"/>
      </c:bar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0037786"/>
        <c:crosses val="autoZero"/>
        <c:auto val="1"/>
        <c:lblOffset val="100"/>
        <c:tickLblSkip val="1"/>
        <c:noMultiLvlLbl val="0"/>
      </c:catAx>
      <c:valAx>
        <c:axId val="30037786"/>
        <c:scaling>
          <c:orientation val="minMax"/>
        </c:scaling>
        <c:axPos val="l"/>
        <c:delete val="1"/>
        <c:majorTickMark val="out"/>
        <c:minorTickMark val="none"/>
        <c:tickLblPos val="nextTo"/>
        <c:crossAx val="2570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GASTOS - GOBIERNO REGIONAL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0.00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525"/>
          <c:w val="0.968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'C09'!$D$7:$K$7</c:f>
              <c:numCache/>
            </c:numRef>
          </c:cat>
          <c:val>
            <c:numRef>
              <c:f>'C09'!$D$16:$K$16</c:f>
              <c:numCache/>
            </c:numRef>
          </c:val>
        </c:ser>
        <c:overlap val="-70"/>
        <c:gapWidth val="355"/>
        <c:axId val="1904619"/>
        <c:axId val="17141572"/>
      </c:barChart>
      <c:catAx>
        <c:axId val="1904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delete val="1"/>
        <c:majorTickMark val="out"/>
        <c:minorTickMark val="none"/>
        <c:tickLblPos val="nextTo"/>
        <c:crossAx val="190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INGRESOS - GOBIERNO LOCAL  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8"/>
          <c:w val="0.9692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'C10'!$D$7:$K$7</c:f>
              <c:numCache/>
            </c:numRef>
          </c:cat>
          <c:val>
            <c:numRef>
              <c:f>'C10'!$D$19:$K$19</c:f>
              <c:numCache/>
            </c:numRef>
          </c:val>
        </c:ser>
        <c:overlap val="-70"/>
        <c:gapWidth val="355"/>
        <c:axId val="20056421"/>
        <c:axId val="46290062"/>
      </c:bar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delete val="1"/>
        <c:majorTickMark val="out"/>
        <c:minorTickMark val="none"/>
        <c:tickLblPos val="nextTo"/>
        <c:crossAx val="20056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GASTOS - GOB. LOCALES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-0.015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625"/>
          <c:w val="0.970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'C11'!$D$7:$K$7</c:f>
              <c:numCache/>
            </c:numRef>
          </c:cat>
          <c:val>
            <c:numRef>
              <c:f>'C11'!$D$16:$K$16</c:f>
              <c:numCache/>
            </c:numRef>
          </c:val>
        </c:ser>
        <c:overlap val="-70"/>
        <c:gapWidth val="355"/>
        <c:axId val="13957375"/>
        <c:axId val="58507512"/>
      </c:bar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</c:scaling>
        <c:axPos val="l"/>
        <c:delete val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INGRESOS - EMPRESAS PÚBLICAS</a:t>
            </a:r>
            <a:r>
              <a:rPr lang="en-US" cap="none" sz="1200" b="0" i="0" u="none" baseline="0">
                <a:solidFill>
                  <a:srgbClr val="808080"/>
                </a:solidFill>
              </a:rPr>
              <a:t>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0.0195"/>
          <c:y val="-0.0052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55"/>
          <c:w val="0.87775"/>
          <c:h val="0.8165"/>
        </c:manualLayout>
      </c:layout>
      <c:bar3DChart>
        <c:barDir val="col"/>
        <c:grouping val="stacked"/>
        <c:varyColors val="0"/>
        <c:ser>
          <c:idx val="0"/>
          <c:order val="0"/>
          <c:tx>
            <c:v>EPF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</c:numLit>
          </c:cat>
          <c:val>
            <c:numRef>
              <c:f>'C12'!$C$9:$J$9</c:f>
              <c:numCache/>
            </c:numRef>
          </c:val>
          <c:shape val="box"/>
        </c:ser>
        <c:ser>
          <c:idx val="1"/>
          <c:order val="1"/>
          <c:tx>
            <c:v>EPNF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</c:numLit>
          </c:cat>
          <c:val>
            <c:numRef>
              <c:f>'C12'!$C$20:$J$20</c:f>
              <c:numCache/>
            </c:numRef>
          </c:val>
          <c:shape val="box"/>
        </c:ser>
        <c:overlap val="100"/>
        <c:shape val="box"/>
        <c:axId val="56805561"/>
        <c:axId val="41488002"/>
      </c:bar3D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delete val="1"/>
        <c:majorTickMark val="out"/>
        <c:minorTickMark val="none"/>
        <c:tickLblPos val="nextTo"/>
        <c:crossAx val="56805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50525"/>
          <c:w val="0.0767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GASTOS - EMPRESAS PÚBLICAS</a:t>
            </a:r>
            <a:r>
              <a:rPr lang="en-US" cap="none" sz="1200" b="0" i="0" u="none" baseline="0">
                <a:solidFill>
                  <a:srgbClr val="808080"/>
                </a:solidFill>
              </a:rPr>
              <a:t>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-0.0015"/>
          <c:y val="-0.005"/>
        </c:manualLayout>
      </c:layout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475"/>
          <c:w val="0.881"/>
          <c:h val="0.8175"/>
        </c:manualLayout>
      </c:layout>
      <c:bar3DChart>
        <c:barDir val="col"/>
        <c:grouping val="stacked"/>
        <c:varyColors val="0"/>
        <c:ser>
          <c:idx val="0"/>
          <c:order val="0"/>
          <c:tx>
            <c:v>EPF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</c:numLit>
          </c:cat>
          <c:val>
            <c:numRef>
              <c:f>'C13'!$C$9:$J$9</c:f>
              <c:numCache/>
            </c:numRef>
          </c:val>
          <c:shape val="box"/>
        </c:ser>
        <c:ser>
          <c:idx val="1"/>
          <c:order val="1"/>
          <c:tx>
            <c:v>EPNF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</c:numLit>
          </c:cat>
          <c:val>
            <c:numRef>
              <c:f>'C13'!$C$19:$J$19</c:f>
              <c:numCache/>
            </c:numRef>
          </c:val>
          <c:shape val="box"/>
        </c:ser>
        <c:overlap val="100"/>
        <c:shape val="box"/>
        <c:axId val="37847699"/>
        <c:axId val="5084972"/>
      </c:bar3D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delete val="1"/>
        <c:majorTickMark val="out"/>
        <c:minorTickMark val="none"/>
        <c:tickLblPos val="nextTo"/>
        <c:crossAx val="378476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505"/>
          <c:w val="0.0747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RECURSOS DETERMINADOS</a:t>
            </a:r>
          </a:p>
        </c:rich>
      </c:tx>
      <c:layout>
        <c:manualLayout>
          <c:xMode val="factor"/>
          <c:yMode val="factor"/>
          <c:x val="0.01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325"/>
          <c:w val="0.9687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'C02'!$C$25</c:f>
              <c:strCache>
                <c:ptCount val="1"/>
                <c:pt idx="0">
                  <c:v>TOTAL INGRESOS RECURSOS DETERMINADOS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'C02'!$D$7:$K$7</c:f>
              <c:strCache/>
            </c:strRef>
          </c:cat>
          <c:val>
            <c:numRef>
              <c:f>'C02'!$D$25:$K$25</c:f>
              <c:numCache/>
            </c:numRef>
          </c:val>
        </c:ser>
        <c:ser>
          <c:idx val="1"/>
          <c:order val="1"/>
          <c:tx>
            <c:strRef>
              <c:f>'C02'!$C$26</c:f>
              <c:strCache>
                <c:ptCount val="1"/>
                <c:pt idx="0">
                  <c:v>TOTAL GASTOS RECURSOS DETERMINADOS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'C02'!$D$7:$K$7</c:f>
              <c:strCache/>
            </c:strRef>
          </c:cat>
          <c:val>
            <c:numRef>
              <c:f>'C02'!$D$26:$K$26</c:f>
              <c:numCache/>
            </c:numRef>
          </c:val>
        </c:ser>
        <c:ser>
          <c:idx val="2"/>
          <c:order val="2"/>
          <c:tx>
            <c:strRef>
              <c:f>'C02'!$C$27</c:f>
              <c:strCache>
                <c:ptCount val="1"/>
                <c:pt idx="0">
                  <c:v>TOTAL SALDOS RECURSOS DETERMINADOS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'C02'!$D$7:$K$7</c:f>
              <c:strCache/>
            </c:strRef>
          </c:cat>
          <c:val>
            <c:numRef>
              <c:f>'C02'!$D$27:$K$27</c:f>
              <c:numCache/>
            </c:numRef>
          </c:val>
        </c:ser>
        <c:overlap val="-27"/>
        <c:gapWidth val="219"/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delete val="1"/>
        <c:majorTickMark val="out"/>
        <c:minorTickMark val="none"/>
        <c:tickLblPos val="nextTo"/>
        <c:crossAx val="54163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88525"/>
          <c:w val="0.657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INGRESOS SEGÚN CLASIFICACIÓN ECONÓMICA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millones de soles nominales)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025"/>
          <c:w val="0.965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'C03'!$B$25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'C03'!$C$8:$J$9</c:f>
              <c:multiLvlStrCache/>
            </c:multiLvlStrRef>
          </c:cat>
          <c:val>
            <c:numRef>
              <c:f>'C03'!$C$25:$J$25</c:f>
              <c:numCache/>
            </c:numRef>
          </c:val>
        </c:ser>
        <c:ser>
          <c:idx val="1"/>
          <c:order val="1"/>
          <c:tx>
            <c:strRef>
              <c:f>'C03'!$B$11</c:f>
              <c:strCache>
                <c:ptCount val="1"/>
                <c:pt idx="0">
                  <c:v>INGRESOS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'C03'!$C$8:$J$9</c:f>
              <c:multiLvlStrCache/>
            </c:multiLvlStrRef>
          </c:cat>
          <c:val>
            <c:numRef>
              <c:f>'C03'!$C$11:$J$11</c:f>
              <c:numCache/>
            </c:numRef>
          </c:val>
        </c:ser>
        <c:ser>
          <c:idx val="2"/>
          <c:order val="2"/>
          <c:tx>
            <c:strRef>
              <c:f>'C03'!$B$21</c:f>
              <c:strCache>
                <c:ptCount val="1"/>
                <c:pt idx="0">
                  <c:v>FINANCIAMIENTO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'C03'!$C$8:$J$9</c:f>
              <c:multiLvlStrCache/>
            </c:multiLvlStrRef>
          </c:cat>
          <c:val>
            <c:numRef>
              <c:f>'C03'!$C$21:$J$21</c:f>
              <c:numCache/>
            </c:numRef>
          </c:val>
        </c:ser>
        <c:overlap val="-70"/>
        <c:gapWidth val="355"/>
        <c:axId val="25205825"/>
        <c:axId val="25525834"/>
      </c:bar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5525834"/>
        <c:crosses val="autoZero"/>
        <c:auto val="1"/>
        <c:lblOffset val="100"/>
        <c:tickLblSkip val="1"/>
        <c:noMultiLvlLbl val="0"/>
      </c:catAx>
      <c:valAx>
        <c:axId val="25525834"/>
        <c:scaling>
          <c:orientation val="minMax"/>
        </c:scaling>
        <c:axPos val="l"/>
        <c:delete val="1"/>
        <c:majorTickMark val="out"/>
        <c:minorTickMark val="none"/>
        <c:tickLblPos val="nextTo"/>
        <c:crossAx val="252058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"/>
          <c:y val="0.9185"/>
          <c:w val="0.67625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GASTOS SEGÚN CLASIFICACIÓN ECONÓMICA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millones de soles nominales)</a:t>
            </a:r>
          </a:p>
        </c:rich>
      </c:tx>
      <c:layout>
        <c:manualLayout>
          <c:xMode val="factor"/>
          <c:yMode val="factor"/>
          <c:x val="-0.001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125"/>
          <c:w val="0.9637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'C03'!$B$50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'C03'!$C$35:$J$36</c:f>
              <c:multiLvlStrCache/>
            </c:multiLvlStrRef>
          </c:cat>
          <c:val>
            <c:numRef>
              <c:f>'C03'!$C$50:$J$50</c:f>
              <c:numCache/>
            </c:numRef>
          </c:val>
        </c:ser>
        <c:ser>
          <c:idx val="1"/>
          <c:order val="1"/>
          <c:tx>
            <c:strRef>
              <c:f>'C03'!$B$38</c:f>
              <c:strCache>
                <c:ptCount val="1"/>
                <c:pt idx="0">
                  <c:v>GASTOS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'C03'!$C$35:$J$36</c:f>
              <c:multiLvlStrCache/>
            </c:multiLvlStrRef>
          </c:cat>
          <c:val>
            <c:numRef>
              <c:f>'C03'!$C$38:$J$38</c:f>
              <c:numCache/>
            </c:numRef>
          </c:val>
        </c:ser>
        <c:ser>
          <c:idx val="2"/>
          <c:order val="2"/>
          <c:tx>
            <c:strRef>
              <c:f>'C03'!$B$44</c:f>
              <c:strCache>
                <c:ptCount val="1"/>
                <c:pt idx="0">
                  <c:v>GASTOS DE CAPITAL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'C03'!$C$35:$J$36</c:f>
              <c:multiLvlStrCache/>
            </c:multiLvlStrRef>
          </c:cat>
          <c:val>
            <c:numRef>
              <c:f>'C03'!$C$44:$J$44</c:f>
              <c:numCache/>
            </c:numRef>
          </c:val>
        </c:ser>
        <c:overlap val="-70"/>
        <c:gapWidth val="355"/>
        <c:axId val="28405915"/>
        <c:axId val="54326644"/>
      </c:bar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</c:scaling>
        <c:axPos val="l"/>
        <c:delete val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25"/>
          <c:y val="0.9135"/>
          <c:w val="0.677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INGRESOS SEGÚN CLASIFICACIÓN ECONÓMICA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millones de soles CONSTANTEs 2009)</a:t>
            </a:r>
          </a:p>
        </c:rich>
      </c:tx>
      <c:layout>
        <c:manualLayout>
          <c:xMode val="factor"/>
          <c:yMode val="factor"/>
          <c:x val="-0.04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35"/>
          <c:w val="0.964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'C04'!$B$25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'C04'!$C$8:$I$9</c:f>
              <c:multiLvlStrCache/>
            </c:multiLvlStrRef>
          </c:cat>
          <c:val>
            <c:numRef>
              <c:f>'C04'!$C$25:$I$25</c:f>
              <c:numCache/>
            </c:numRef>
          </c:val>
        </c:ser>
        <c:ser>
          <c:idx val="1"/>
          <c:order val="1"/>
          <c:tx>
            <c:strRef>
              <c:f>'C04'!$B$11</c:f>
              <c:strCache>
                <c:ptCount val="1"/>
                <c:pt idx="0">
                  <c:v>INGRESOS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'C04'!$C$8:$I$9</c:f>
              <c:multiLvlStrCache/>
            </c:multiLvlStrRef>
          </c:cat>
          <c:val>
            <c:numRef>
              <c:f>'C04'!$C$11:$I$11</c:f>
              <c:numCache/>
            </c:numRef>
          </c:val>
        </c:ser>
        <c:ser>
          <c:idx val="2"/>
          <c:order val="2"/>
          <c:tx>
            <c:strRef>
              <c:f>'C04'!$B$21</c:f>
              <c:strCache>
                <c:ptCount val="1"/>
                <c:pt idx="0">
                  <c:v>FINANCIAMIENTO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'C04'!$C$8:$I$9</c:f>
              <c:multiLvlStrCache/>
            </c:multiLvlStrRef>
          </c:cat>
          <c:val>
            <c:numRef>
              <c:f>'C04'!$C$21:$I$21</c:f>
              <c:numCache/>
            </c:numRef>
          </c:val>
        </c:ser>
        <c:overlap val="-70"/>
        <c:gapWidth val="355"/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</c:scaling>
        <c:axPos val="l"/>
        <c:delete val="1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"/>
          <c:y val="0.9215"/>
          <c:w val="0.696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GASTOS SEGÚN CLASIFICACIÓN ECONÓMICA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(miles de millones de soles CONSTANTEs 2009)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5"/>
          <c:w val="0.964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'C04'!$B$50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'C04'!$C$35:$I$36</c:f>
              <c:multiLvlStrCache/>
            </c:multiLvlStrRef>
          </c:cat>
          <c:val>
            <c:numRef>
              <c:f>'C04'!$C$50:$I$50</c:f>
              <c:numCache/>
            </c:numRef>
          </c:val>
        </c:ser>
        <c:ser>
          <c:idx val="1"/>
          <c:order val="1"/>
          <c:tx>
            <c:strRef>
              <c:f>'C04'!$B$38</c:f>
              <c:strCache>
                <c:ptCount val="1"/>
                <c:pt idx="0">
                  <c:v>GASTOS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'C04'!$C$35:$I$36</c:f>
              <c:multiLvlStrCache/>
            </c:multiLvlStrRef>
          </c:cat>
          <c:val>
            <c:numRef>
              <c:f>'C04'!$C$38:$I$38</c:f>
              <c:numCache/>
            </c:numRef>
          </c:val>
        </c:ser>
        <c:ser>
          <c:idx val="2"/>
          <c:order val="2"/>
          <c:tx>
            <c:strRef>
              <c:f>'C04'!$B$44</c:f>
              <c:strCache>
                <c:ptCount val="1"/>
                <c:pt idx="0">
                  <c:v>GASTOS DE CAPITAL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'C04'!$C$35:$I$36</c:f>
              <c:multiLvlStrCache/>
            </c:multiLvlStrRef>
          </c:cat>
          <c:val>
            <c:numRef>
              <c:f>'C04'!$C$44:$I$44</c:f>
              <c:numCache/>
            </c:numRef>
          </c:val>
        </c:ser>
        <c:overlap val="-70"/>
        <c:gapWidth val="355"/>
        <c:axId val="9893807"/>
        <c:axId val="21935400"/>
      </c:barChart>
      <c:catAx>
        <c:axId val="989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1935400"/>
        <c:crosses val="autoZero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delete val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92075"/>
          <c:w val="0.675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INGRESOS SEGÚN CLASIFICACIÓN ECONÓMICA
</a:t>
            </a:r>
            <a:r>
              <a:rPr lang="en-US" cap="none" sz="1400" b="1" i="0" u="none" baseline="0">
                <a:solidFill>
                  <a:srgbClr val="808080"/>
                </a:solidFill>
              </a:rPr>
              <a:t>(% DEL PBI)</a:t>
            </a:r>
          </a:p>
        </c:rich>
      </c:tx>
      <c:layout>
        <c:manualLayout>
          <c:xMode val="factor"/>
          <c:yMode val="factor"/>
          <c:x val="0.00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425"/>
          <c:w val="0.961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'C05'!$B$24</c:f>
              <c:strCache>
                <c:ptCount val="1"/>
                <c:pt idx="0">
                  <c:v>TOTAL INGRESOS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'C05'!$C$7:$J$8</c:f>
              <c:multiLvlStrCache/>
            </c:multiLvlStrRef>
          </c:cat>
          <c:val>
            <c:numRef>
              <c:f>'C05'!$C$24:$J$24</c:f>
              <c:numCache/>
            </c:numRef>
          </c:val>
        </c:ser>
        <c:ser>
          <c:idx val="1"/>
          <c:order val="1"/>
          <c:tx>
            <c:strRef>
              <c:f>'C05'!$B$10</c:f>
              <c:strCache>
                <c:ptCount val="1"/>
                <c:pt idx="0">
                  <c:v>INGRESOS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'C05'!$C$7:$J$8</c:f>
              <c:multiLvlStrCache/>
            </c:multiLvlStrRef>
          </c:cat>
          <c:val>
            <c:numRef>
              <c:f>'C05'!$C$10:$J$10</c:f>
              <c:numCache/>
            </c:numRef>
          </c:val>
        </c:ser>
        <c:ser>
          <c:idx val="2"/>
          <c:order val="2"/>
          <c:tx>
            <c:strRef>
              <c:f>'C05'!$B$20</c:f>
              <c:strCache>
                <c:ptCount val="1"/>
                <c:pt idx="0">
                  <c:v>FINANCIAMIENTO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'C05'!$C$7:$J$8</c:f>
              <c:multiLvlStrCache/>
            </c:multiLvlStrRef>
          </c:cat>
          <c:val>
            <c:numRef>
              <c:f>'C05'!$C$20:$J$20</c:f>
              <c:numCache/>
            </c:numRef>
          </c:val>
        </c:ser>
        <c:overlap val="-70"/>
        <c:gapWidth val="355"/>
        <c:axId val="63200873"/>
        <c:axId val="31936946"/>
      </c:bar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1936946"/>
        <c:crosses val="autoZero"/>
        <c:auto val="1"/>
        <c:lblOffset val="100"/>
        <c:tickLblSkip val="1"/>
        <c:noMultiLvlLbl val="0"/>
      </c:catAx>
      <c:valAx>
        <c:axId val="31936946"/>
        <c:scaling>
          <c:orientation val="minMax"/>
        </c:scaling>
        <c:axPos val="l"/>
        <c:delete val="1"/>
        <c:majorTickMark val="out"/>
        <c:minorTickMark val="none"/>
        <c:tickLblPos val="nextTo"/>
        <c:crossAx val="6320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922"/>
          <c:w val="0.755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GASTOS SEGÚN CLASIFICACIÓN ECONÓMICA                         (% DEL PBI)</a:t>
            </a:r>
          </a:p>
        </c:rich>
      </c:tx>
      <c:layout>
        <c:manualLayout>
          <c:xMode val="factor"/>
          <c:yMode val="factor"/>
          <c:x val="0.026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1"/>
          <c:w val="0.961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'C05'!$B$48</c:f>
              <c:strCache>
                <c:ptCount val="1"/>
                <c:pt idx="0">
                  <c:v>TOTAL GASTOS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'C05'!$C$33:$J$34</c:f>
              <c:multiLvlStrCache/>
            </c:multiLvlStrRef>
          </c:cat>
          <c:val>
            <c:numRef>
              <c:f>'C05'!$C$48:$J$48</c:f>
              <c:numCache/>
            </c:numRef>
          </c:val>
        </c:ser>
        <c:ser>
          <c:idx val="1"/>
          <c:order val="1"/>
          <c:tx>
            <c:strRef>
              <c:f>'C05'!$B$36</c:f>
              <c:strCache>
                <c:ptCount val="1"/>
                <c:pt idx="0">
                  <c:v>GASTOS CORRIENTES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'C05'!$C$33:$J$34</c:f>
              <c:multiLvlStrCache/>
            </c:multiLvlStrRef>
          </c:cat>
          <c:val>
            <c:numRef>
              <c:f>'C05'!$C$36:$J$36</c:f>
              <c:numCache/>
            </c:numRef>
          </c:val>
        </c:ser>
        <c:ser>
          <c:idx val="2"/>
          <c:order val="2"/>
          <c:tx>
            <c:strRef>
              <c:f>'C05'!$B$42</c:f>
              <c:strCache>
                <c:ptCount val="1"/>
                <c:pt idx="0">
                  <c:v>GASTOS DE CAPITAL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'C05'!$C$33:$J$34</c:f>
              <c:multiLvlStrCache/>
            </c:multiLvlStrRef>
          </c:cat>
          <c:val>
            <c:numRef>
              <c:f>'C05'!$C$42:$J$42</c:f>
              <c:numCache/>
            </c:numRef>
          </c:val>
        </c:ser>
        <c:overlap val="-70"/>
        <c:gapWidth val="355"/>
        <c:axId val="18997059"/>
        <c:axId val="36755804"/>
      </c:barChart>
      <c:catAx>
        <c:axId val="18997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36755804"/>
        <c:crosses val="autoZero"/>
        <c:auto val="1"/>
        <c:lblOffset val="100"/>
        <c:tickLblSkip val="1"/>
        <c:noMultiLvlLbl val="0"/>
      </c:catAx>
      <c:valAx>
        <c:axId val="36755804"/>
        <c:scaling>
          <c:orientation val="minMax"/>
        </c:scaling>
        <c:axPos val="l"/>
        <c:delete val="1"/>
        <c:majorTickMark val="out"/>
        <c:minorTickMark val="none"/>
        <c:tickLblPos val="nextTo"/>
        <c:crossAx val="1899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5"/>
          <c:y val="0.92325"/>
          <c:w val="0.733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8080"/>
                </a:solidFill>
              </a:rPr>
              <a:t>EJECUCIÓN PRESUPUESTAL DE INGRESOS - GOBIERNO NACIONAL
</a:t>
            </a:r>
            <a:r>
              <a:rPr lang="en-US" cap="none" sz="1200" b="1" i="0" u="none" baseline="0">
                <a:solidFill>
                  <a:srgbClr val="808080"/>
                </a:solidFill>
              </a:rPr>
              <a:t> (miles de soles)</a:t>
            </a:r>
          </a:p>
        </c:rich>
      </c:tx>
      <c:layout>
        <c:manualLayout>
          <c:xMode val="factor"/>
          <c:yMode val="factor"/>
          <c:x val="0.010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968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'C06'!$D$7:$K$7</c:f>
              <c:numCache/>
            </c:numRef>
          </c:cat>
          <c:val>
            <c:numRef>
              <c:f>'C06'!$D$17:$K$17</c:f>
              <c:numCache/>
            </c:numRef>
          </c:val>
        </c:ser>
        <c:overlap val="-70"/>
        <c:gapWidth val="355"/>
        <c:axId val="62366781"/>
        <c:axId val="24430118"/>
      </c:bar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4430118"/>
        <c:crosses val="autoZero"/>
        <c:auto val="1"/>
        <c:lblOffset val="100"/>
        <c:tickLblSkip val="1"/>
        <c:noMultiLvlLbl val="0"/>
      </c:catAx>
      <c:valAx>
        <c:axId val="24430118"/>
        <c:scaling>
          <c:orientation val="minMax"/>
        </c:scaling>
        <c:axPos val="l"/>
        <c:delete val="1"/>
        <c:majorTickMark val="out"/>
        <c:minorTickMark val="none"/>
        <c:tickLblPos val="nextTo"/>
        <c:crossAx val="6236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8</xdr:row>
      <xdr:rowOff>0</xdr:rowOff>
    </xdr:from>
    <xdr:to>
      <xdr:col>20</xdr:col>
      <xdr:colOff>390525</xdr:colOff>
      <xdr:row>29</xdr:row>
      <xdr:rowOff>9525</xdr:rowOff>
    </xdr:to>
    <xdr:graphicFrame>
      <xdr:nvGraphicFramePr>
        <xdr:cNvPr id="1" name="Gráfico 1"/>
        <xdr:cNvGraphicFramePr/>
      </xdr:nvGraphicFramePr>
      <xdr:xfrm>
        <a:off x="11534775" y="1647825"/>
        <a:ext cx="6372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2181225</xdr:colOff>
      <xdr:row>24</xdr:row>
      <xdr:rowOff>28575</xdr:rowOff>
    </xdr:from>
    <xdr:to>
      <xdr:col>7</xdr:col>
      <xdr:colOff>600075</xdr:colOff>
      <xdr:row>48</xdr:row>
      <xdr:rowOff>66675</xdr:rowOff>
    </xdr:to>
    <xdr:graphicFrame>
      <xdr:nvGraphicFramePr>
        <xdr:cNvPr id="1" name="Gráfico 1"/>
        <xdr:cNvGraphicFramePr/>
      </xdr:nvGraphicFramePr>
      <xdr:xfrm>
        <a:off x="3028950" y="4486275"/>
        <a:ext cx="6457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2638425</xdr:colOff>
      <xdr:row>18</xdr:row>
      <xdr:rowOff>66675</xdr:rowOff>
    </xdr:from>
    <xdr:to>
      <xdr:col>7</xdr:col>
      <xdr:colOff>1123950</xdr:colOff>
      <xdr:row>42</xdr:row>
      <xdr:rowOff>152400</xdr:rowOff>
    </xdr:to>
    <xdr:graphicFrame>
      <xdr:nvGraphicFramePr>
        <xdr:cNvPr id="1" name="Gráfico 1"/>
        <xdr:cNvGraphicFramePr/>
      </xdr:nvGraphicFramePr>
      <xdr:xfrm>
        <a:off x="3486150" y="3381375"/>
        <a:ext cx="6743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3619500</xdr:colOff>
      <xdr:row>34</xdr:row>
      <xdr:rowOff>152400</xdr:rowOff>
    </xdr:from>
    <xdr:to>
      <xdr:col>6</xdr:col>
      <xdr:colOff>895350</xdr:colOff>
      <xdr:row>58</xdr:row>
      <xdr:rowOff>66675</xdr:rowOff>
    </xdr:to>
    <xdr:graphicFrame>
      <xdr:nvGraphicFramePr>
        <xdr:cNvPr id="1" name="Gráfico 2"/>
        <xdr:cNvGraphicFramePr/>
      </xdr:nvGraphicFramePr>
      <xdr:xfrm>
        <a:off x="4381500" y="6486525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3667125</xdr:colOff>
      <xdr:row>32</xdr:row>
      <xdr:rowOff>104775</xdr:rowOff>
    </xdr:from>
    <xdr:to>
      <xdr:col>7</xdr:col>
      <xdr:colOff>219075</xdr:colOff>
      <xdr:row>56</xdr:row>
      <xdr:rowOff>38100</xdr:rowOff>
    </xdr:to>
    <xdr:graphicFrame>
      <xdr:nvGraphicFramePr>
        <xdr:cNvPr id="1" name="Gráfico 2"/>
        <xdr:cNvGraphicFramePr/>
      </xdr:nvGraphicFramePr>
      <xdr:xfrm>
        <a:off x="4429125" y="5800725"/>
        <a:ext cx="6067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6</xdr:row>
      <xdr:rowOff>152400</xdr:rowOff>
    </xdr:from>
    <xdr:to>
      <xdr:col>20</xdr:col>
      <xdr:colOff>514350</xdr:colOff>
      <xdr:row>26</xdr:row>
      <xdr:rowOff>161925</xdr:rowOff>
    </xdr:to>
    <xdr:graphicFrame>
      <xdr:nvGraphicFramePr>
        <xdr:cNvPr id="1" name="Gráfico 1"/>
        <xdr:cNvGraphicFramePr/>
      </xdr:nvGraphicFramePr>
      <xdr:xfrm>
        <a:off x="11744325" y="1276350"/>
        <a:ext cx="6334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685800</xdr:colOff>
      <xdr:row>7</xdr:row>
      <xdr:rowOff>47625</xdr:rowOff>
    </xdr:from>
    <xdr:to>
      <xdr:col>26</xdr:col>
      <xdr:colOff>295275</xdr:colOff>
      <xdr:row>24</xdr:row>
      <xdr:rowOff>152400</xdr:rowOff>
    </xdr:to>
    <xdr:graphicFrame>
      <xdr:nvGraphicFramePr>
        <xdr:cNvPr id="1" name="Gráfico 1"/>
        <xdr:cNvGraphicFramePr/>
      </xdr:nvGraphicFramePr>
      <xdr:xfrm>
        <a:off x="16868775" y="1295400"/>
        <a:ext cx="5705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26</xdr:col>
      <xdr:colOff>190500</xdr:colOff>
      <xdr:row>50</xdr:row>
      <xdr:rowOff>9525</xdr:rowOff>
    </xdr:to>
    <xdr:graphicFrame>
      <xdr:nvGraphicFramePr>
        <xdr:cNvPr id="2" name="Gráfico 2"/>
        <xdr:cNvGraphicFramePr/>
      </xdr:nvGraphicFramePr>
      <xdr:xfrm>
        <a:off x="16944975" y="6172200"/>
        <a:ext cx="55245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7</xdr:row>
      <xdr:rowOff>142875</xdr:rowOff>
    </xdr:from>
    <xdr:to>
      <xdr:col>25</xdr:col>
      <xdr:colOff>676275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16383000" y="1419225"/>
        <a:ext cx="5543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590550</xdr:colOff>
      <xdr:row>34</xdr:row>
      <xdr:rowOff>47625</xdr:rowOff>
    </xdr:from>
    <xdr:to>
      <xdr:col>25</xdr:col>
      <xdr:colOff>695325</xdr:colOff>
      <xdr:row>51</xdr:row>
      <xdr:rowOff>142875</xdr:rowOff>
    </xdr:to>
    <xdr:graphicFrame>
      <xdr:nvGraphicFramePr>
        <xdr:cNvPr id="2" name="Gráfico 2"/>
        <xdr:cNvGraphicFramePr/>
      </xdr:nvGraphicFramePr>
      <xdr:xfrm>
        <a:off x="16402050" y="6467475"/>
        <a:ext cx="55435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5</xdr:row>
      <xdr:rowOff>0</xdr:rowOff>
    </xdr:from>
    <xdr:to>
      <xdr:col>17</xdr:col>
      <xdr:colOff>733425</xdr:colOff>
      <xdr:row>23</xdr:row>
      <xdr:rowOff>104775</xdr:rowOff>
    </xdr:to>
    <xdr:graphicFrame>
      <xdr:nvGraphicFramePr>
        <xdr:cNvPr id="1" name="Gráfico 1"/>
        <xdr:cNvGraphicFramePr/>
      </xdr:nvGraphicFramePr>
      <xdr:xfrm>
        <a:off x="10039350" y="895350"/>
        <a:ext cx="51149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30</xdr:row>
      <xdr:rowOff>47625</xdr:rowOff>
    </xdr:from>
    <xdr:to>
      <xdr:col>18</xdr:col>
      <xdr:colOff>19050</xdr:colOff>
      <xdr:row>49</xdr:row>
      <xdr:rowOff>9525</xdr:rowOff>
    </xdr:to>
    <xdr:graphicFrame>
      <xdr:nvGraphicFramePr>
        <xdr:cNvPr id="2" name="Gráfico 2"/>
        <xdr:cNvGraphicFramePr/>
      </xdr:nvGraphicFramePr>
      <xdr:xfrm>
        <a:off x="10086975" y="5553075"/>
        <a:ext cx="51149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2133600</xdr:colOff>
      <xdr:row>19</xdr:row>
      <xdr:rowOff>9525</xdr:rowOff>
    </xdr:from>
    <xdr:to>
      <xdr:col>7</xdr:col>
      <xdr:colOff>514350</xdr:colOff>
      <xdr:row>43</xdr:row>
      <xdr:rowOff>152400</xdr:rowOff>
    </xdr:to>
    <xdr:graphicFrame>
      <xdr:nvGraphicFramePr>
        <xdr:cNvPr id="1" name="Gráfico 1"/>
        <xdr:cNvGraphicFramePr/>
      </xdr:nvGraphicFramePr>
      <xdr:xfrm>
        <a:off x="2943225" y="3514725"/>
        <a:ext cx="6315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2209800</xdr:colOff>
      <xdr:row>18</xdr:row>
      <xdr:rowOff>28575</xdr:rowOff>
    </xdr:from>
    <xdr:to>
      <xdr:col>7</xdr:col>
      <xdr:colOff>752475</xdr:colOff>
      <xdr:row>42</xdr:row>
      <xdr:rowOff>142875</xdr:rowOff>
    </xdr:to>
    <xdr:graphicFrame>
      <xdr:nvGraphicFramePr>
        <xdr:cNvPr id="1" name="Gráfico 2"/>
        <xdr:cNvGraphicFramePr/>
      </xdr:nvGraphicFramePr>
      <xdr:xfrm>
        <a:off x="3019425" y="3343275"/>
        <a:ext cx="67818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24</xdr:row>
      <xdr:rowOff>47625</xdr:rowOff>
    </xdr:from>
    <xdr:to>
      <xdr:col>7</xdr:col>
      <xdr:colOff>885825</xdr:colOff>
      <xdr:row>48</xdr:row>
      <xdr:rowOff>0</xdr:rowOff>
    </xdr:to>
    <xdr:graphicFrame>
      <xdr:nvGraphicFramePr>
        <xdr:cNvPr id="1" name="Gráfico 1"/>
        <xdr:cNvGraphicFramePr/>
      </xdr:nvGraphicFramePr>
      <xdr:xfrm>
        <a:off x="3333750" y="4505325"/>
        <a:ext cx="6610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2590800</xdr:colOff>
      <xdr:row>17</xdr:row>
      <xdr:rowOff>133350</xdr:rowOff>
    </xdr:from>
    <xdr:to>
      <xdr:col>7</xdr:col>
      <xdr:colOff>809625</xdr:colOff>
      <xdr:row>42</xdr:row>
      <xdr:rowOff>85725</xdr:rowOff>
    </xdr:to>
    <xdr:graphicFrame>
      <xdr:nvGraphicFramePr>
        <xdr:cNvPr id="1" name="Gráfico 1"/>
        <xdr:cNvGraphicFramePr/>
      </xdr:nvGraphicFramePr>
      <xdr:xfrm>
        <a:off x="3390900" y="3286125"/>
        <a:ext cx="6477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showGridLines="0" zoomScalePageLayoutView="0" workbookViewId="0" topLeftCell="A1">
      <selection activeCell="B40" sqref="B40"/>
    </sheetView>
  </sheetViews>
  <sheetFormatPr defaultColWidth="11.421875" defaultRowHeight="12.75"/>
  <cols>
    <col min="2" max="2" width="102.8515625" style="0" customWidth="1"/>
    <col min="3" max="3" width="13.8515625" style="147" customWidth="1"/>
  </cols>
  <sheetData>
    <row r="1" ht="12.75">
      <c r="C1" s="203"/>
    </row>
    <row r="2" spans="2:3" ht="15.75">
      <c r="B2" s="144" t="s">
        <v>201</v>
      </c>
      <c r="C2" s="203"/>
    </row>
    <row r="3" spans="2:3" ht="12.75">
      <c r="B3" s="59"/>
      <c r="C3" s="145"/>
    </row>
    <row r="4" spans="2:3" ht="15">
      <c r="B4" s="143" t="s">
        <v>202</v>
      </c>
      <c r="C4" s="145"/>
    </row>
    <row r="5" spans="2:3" ht="12.75">
      <c r="B5" s="60"/>
      <c r="C5" s="145"/>
    </row>
    <row r="6" spans="2:3" ht="12.75">
      <c r="B6" s="61" t="s">
        <v>249</v>
      </c>
      <c r="C6" s="146" t="s">
        <v>203</v>
      </c>
    </row>
    <row r="7" spans="2:3" ht="12.75">
      <c r="B7" s="142"/>
      <c r="C7" s="146"/>
    </row>
    <row r="8" spans="2:3" ht="12.75">
      <c r="B8" s="61" t="s">
        <v>250</v>
      </c>
      <c r="C8" s="146" t="s">
        <v>211</v>
      </c>
    </row>
    <row r="9" spans="2:3" ht="12.75">
      <c r="B9" s="142"/>
      <c r="C9" s="146"/>
    </row>
    <row r="10" spans="2:3" ht="12.75">
      <c r="B10" s="61" t="s">
        <v>251</v>
      </c>
      <c r="C10" s="146" t="s">
        <v>212</v>
      </c>
    </row>
    <row r="11" spans="2:3" ht="12.75">
      <c r="B11" s="142"/>
      <c r="C11" s="146"/>
    </row>
    <row r="12" spans="2:3" ht="12.75">
      <c r="B12" s="61" t="s">
        <v>252</v>
      </c>
      <c r="C12" s="146" t="s">
        <v>213</v>
      </c>
    </row>
    <row r="13" spans="2:3" ht="12.75">
      <c r="B13" s="61"/>
      <c r="C13" s="146"/>
    </row>
    <row r="14" spans="2:3" ht="12.75">
      <c r="B14" s="61" t="s">
        <v>253</v>
      </c>
      <c r="C14" s="146" t="s">
        <v>214</v>
      </c>
    </row>
    <row r="15" spans="2:3" ht="12.75">
      <c r="B15" s="61"/>
      <c r="C15" s="146"/>
    </row>
    <row r="16" spans="2:3" ht="12.75">
      <c r="B16" s="61" t="s">
        <v>205</v>
      </c>
      <c r="C16" s="146" t="s">
        <v>215</v>
      </c>
    </row>
    <row r="17" spans="2:3" ht="12.75">
      <c r="B17" s="142"/>
      <c r="C17" s="146"/>
    </row>
    <row r="18" spans="2:3" ht="12.75">
      <c r="B18" s="61" t="s">
        <v>206</v>
      </c>
      <c r="C18" s="146" t="s">
        <v>216</v>
      </c>
    </row>
    <row r="19" spans="2:3" ht="12.75">
      <c r="B19" s="142"/>
      <c r="C19" s="146"/>
    </row>
    <row r="20" spans="2:3" ht="12.75">
      <c r="B20" s="61" t="s">
        <v>207</v>
      </c>
      <c r="C20" s="146" t="s">
        <v>217</v>
      </c>
    </row>
    <row r="21" spans="2:3" ht="12.75">
      <c r="B21" s="61"/>
      <c r="C21" s="146"/>
    </row>
    <row r="22" spans="2:3" ht="12.75">
      <c r="B22" s="61" t="s">
        <v>208</v>
      </c>
      <c r="C22" s="146" t="s">
        <v>218</v>
      </c>
    </row>
    <row r="23" spans="2:3" ht="12.75">
      <c r="B23" s="142"/>
      <c r="C23" s="146"/>
    </row>
    <row r="24" spans="2:3" ht="12.75">
      <c r="B24" s="61" t="s">
        <v>209</v>
      </c>
      <c r="C24" s="146" t="s">
        <v>219</v>
      </c>
    </row>
    <row r="25" spans="2:3" ht="12.75">
      <c r="B25" s="142"/>
      <c r="C25" s="146"/>
    </row>
    <row r="26" spans="2:3" ht="12.75">
      <c r="B26" s="61" t="s">
        <v>210</v>
      </c>
      <c r="C26" s="146" t="s">
        <v>220</v>
      </c>
    </row>
    <row r="27" spans="2:3" ht="12.75">
      <c r="B27" s="142"/>
      <c r="C27" s="146"/>
    </row>
    <row r="28" spans="2:3" ht="12.75">
      <c r="B28" s="61" t="s">
        <v>221</v>
      </c>
      <c r="C28" s="146" t="s">
        <v>222</v>
      </c>
    </row>
    <row r="29" spans="2:3" ht="12.75">
      <c r="B29" s="142"/>
      <c r="C29" s="146"/>
    </row>
    <row r="30" spans="2:3" ht="12.75">
      <c r="B30" s="61" t="s">
        <v>223</v>
      </c>
      <c r="C30" s="146" t="s">
        <v>224</v>
      </c>
    </row>
    <row r="31" spans="2:3" ht="12.75">
      <c r="B31" s="58"/>
      <c r="C31" s="145"/>
    </row>
    <row r="32" spans="2:3" ht="15">
      <c r="B32" s="143" t="s">
        <v>204</v>
      </c>
      <c r="C32" s="145"/>
    </row>
    <row r="33" spans="2:3" ht="12.75">
      <c r="B33" s="59"/>
      <c r="C33" s="145"/>
    </row>
    <row r="34" spans="2:3" ht="12.75">
      <c r="B34" s="142" t="s">
        <v>254</v>
      </c>
      <c r="C34" s="146" t="s">
        <v>225</v>
      </c>
    </row>
    <row r="35" spans="2:3" ht="12.75">
      <c r="B35" s="142"/>
      <c r="C35" s="146"/>
    </row>
    <row r="36" spans="2:3" ht="12.75">
      <c r="B36" s="142" t="s">
        <v>255</v>
      </c>
      <c r="C36" s="146" t="s">
        <v>226</v>
      </c>
    </row>
    <row r="37" spans="2:3" ht="12.75">
      <c r="B37" s="61"/>
      <c r="C37" s="146"/>
    </row>
    <row r="38" spans="2:3" ht="12.75">
      <c r="B38" s="142" t="s">
        <v>256</v>
      </c>
      <c r="C38" s="146" t="s">
        <v>227</v>
      </c>
    </row>
  </sheetData>
  <sheetProtection/>
  <mergeCells count="1"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16"/>
  <sheetViews>
    <sheetView showGridLines="0" zoomScale="8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6.57421875" style="0" bestFit="1" customWidth="1"/>
    <col min="4" max="6" width="16.57421875" style="0" bestFit="1" customWidth="1"/>
    <col min="7" max="8" width="17.57421875" style="0" bestFit="1" customWidth="1"/>
    <col min="9" max="11" width="17.57421875" style="0" customWidth="1"/>
    <col min="12" max="12" width="16.57421875" style="0" bestFit="1" customWidth="1"/>
    <col min="13" max="13" width="12.7109375" style="0" bestFit="1" customWidth="1"/>
  </cols>
  <sheetData>
    <row r="3" spans="2:11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 t="s">
        <v>100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4" t="s">
        <v>91</v>
      </c>
      <c r="D7" s="54">
        <v>2009</v>
      </c>
      <c r="E7" s="54">
        <v>2010</v>
      </c>
      <c r="F7" s="54">
        <v>2011</v>
      </c>
      <c r="G7" s="54">
        <v>2012</v>
      </c>
      <c r="H7" s="54">
        <v>2013</v>
      </c>
      <c r="I7" s="148">
        <v>2014</v>
      </c>
      <c r="J7" s="54">
        <v>2015</v>
      </c>
      <c r="K7" s="52">
        <v>2016</v>
      </c>
    </row>
    <row r="8" spans="2:11" ht="15">
      <c r="B8" s="85">
        <v>2.1</v>
      </c>
      <c r="C8" s="4" t="s">
        <v>92</v>
      </c>
      <c r="D8" s="64">
        <v>7036574.615780003</v>
      </c>
      <c r="E8" s="64">
        <v>7071143.710689999</v>
      </c>
      <c r="F8" s="64">
        <v>7515747.701590006</v>
      </c>
      <c r="G8" s="64">
        <v>8557696.667549998</v>
      </c>
      <c r="H8" s="64">
        <v>9628411.274449999</v>
      </c>
      <c r="I8" s="64">
        <v>11525099.679239992</v>
      </c>
      <c r="J8" s="64">
        <v>12026239.774369992</v>
      </c>
      <c r="K8" s="64">
        <v>13401088.686620008</v>
      </c>
    </row>
    <row r="9" spans="2:11" ht="15">
      <c r="B9" s="4">
        <v>2.2</v>
      </c>
      <c r="C9" s="4" t="s">
        <v>93</v>
      </c>
      <c r="D9" s="64">
        <v>1474128.1722099993</v>
      </c>
      <c r="E9" s="64">
        <v>1464222.2298800005</v>
      </c>
      <c r="F9" s="64">
        <v>1487604.035309999</v>
      </c>
      <c r="G9" s="64">
        <v>1569196.4666600002</v>
      </c>
      <c r="H9" s="64">
        <v>1602284.9687600003</v>
      </c>
      <c r="I9" s="64">
        <v>1921580.4967399996</v>
      </c>
      <c r="J9" s="64">
        <v>1703608.9415600002</v>
      </c>
      <c r="K9" s="64">
        <v>1771933.825299999</v>
      </c>
    </row>
    <row r="10" spans="2:11" ht="15">
      <c r="B10" s="4">
        <v>2.3</v>
      </c>
      <c r="C10" s="4" t="s">
        <v>94</v>
      </c>
      <c r="D10" s="64">
        <v>1519667.3833399992</v>
      </c>
      <c r="E10" s="64">
        <v>1967117.5820999981</v>
      </c>
      <c r="F10" s="64">
        <v>2276847.141629999</v>
      </c>
      <c r="G10" s="64">
        <v>3266535.859209992</v>
      </c>
      <c r="H10" s="64">
        <v>3442453.168410002</v>
      </c>
      <c r="I10" s="64">
        <v>3652562.742359997</v>
      </c>
      <c r="J10" s="64">
        <v>4576122.606559996</v>
      </c>
      <c r="K10" s="64">
        <v>4832319.314709995</v>
      </c>
    </row>
    <row r="11" spans="2:11" ht="15">
      <c r="B11" s="4">
        <v>2.4</v>
      </c>
      <c r="C11" s="4" t="s">
        <v>1</v>
      </c>
      <c r="D11" s="64">
        <v>502031.1893</v>
      </c>
      <c r="E11" s="64">
        <v>439700.1596</v>
      </c>
      <c r="F11" s="64">
        <v>692581.5032700001</v>
      </c>
      <c r="G11" s="64">
        <v>406743.3683699999</v>
      </c>
      <c r="H11" s="64">
        <v>409918.67272000003</v>
      </c>
      <c r="I11" s="64">
        <v>197619.69751000003</v>
      </c>
      <c r="J11" s="64">
        <v>171246.24648</v>
      </c>
      <c r="K11" s="64">
        <v>65793.12816</v>
      </c>
    </row>
    <row r="12" spans="2:11" ht="15">
      <c r="B12" s="4">
        <v>2.5</v>
      </c>
      <c r="C12" s="4" t="s">
        <v>95</v>
      </c>
      <c r="D12" s="64">
        <v>280317.6473400001</v>
      </c>
      <c r="E12" s="64">
        <v>303221.6306</v>
      </c>
      <c r="F12" s="64">
        <v>642851.9702800001</v>
      </c>
      <c r="G12" s="64">
        <v>276267.8376800002</v>
      </c>
      <c r="H12" s="64">
        <v>359318.56547999993</v>
      </c>
      <c r="I12" s="64">
        <v>282006.4065599998</v>
      </c>
      <c r="J12" s="64">
        <v>227511.64180000007</v>
      </c>
      <c r="K12" s="64">
        <v>320021.47975999996</v>
      </c>
    </row>
    <row r="13" spans="2:11" ht="15">
      <c r="B13" s="4">
        <v>2.6</v>
      </c>
      <c r="C13" s="4" t="s">
        <v>96</v>
      </c>
      <c r="D13" s="64">
        <v>4076671.8429299924</v>
      </c>
      <c r="E13" s="64">
        <v>4955998.712100014</v>
      </c>
      <c r="F13" s="64">
        <v>4714214.99754</v>
      </c>
      <c r="G13" s="64">
        <v>6691853.057539987</v>
      </c>
      <c r="H13" s="64">
        <v>7026074.13003001</v>
      </c>
      <c r="I13" s="64">
        <v>6347556.334660002</v>
      </c>
      <c r="J13" s="64">
        <v>5981869.348479998</v>
      </c>
      <c r="K13" s="64">
        <v>5765548.456139988</v>
      </c>
    </row>
    <row r="14" spans="2:11" ht="15">
      <c r="B14" s="4">
        <v>2.7</v>
      </c>
      <c r="C14" s="4" t="s">
        <v>97</v>
      </c>
      <c r="D14" s="64">
        <v>22157.337359999998</v>
      </c>
      <c r="E14" s="64">
        <v>4235.276120000001</v>
      </c>
      <c r="F14" s="64">
        <v>4196.02576</v>
      </c>
      <c r="G14" s="64">
        <v>2189.58894</v>
      </c>
      <c r="H14" s="64">
        <v>2137.86148</v>
      </c>
      <c r="I14" s="64">
        <v>944.99663</v>
      </c>
      <c r="J14" s="64">
        <v>27.999999999999996</v>
      </c>
      <c r="K14" s="64">
        <v>874</v>
      </c>
    </row>
    <row r="15" spans="2:11" ht="15">
      <c r="B15" s="66">
        <v>2.8</v>
      </c>
      <c r="C15" s="66" t="s">
        <v>98</v>
      </c>
      <c r="D15" s="67">
        <v>1925.9606400000002</v>
      </c>
      <c r="E15" s="67">
        <v>14994.5864</v>
      </c>
      <c r="F15" s="67">
        <v>5973.640620000001</v>
      </c>
      <c r="G15" s="67">
        <v>4179.67763</v>
      </c>
      <c r="H15" s="67">
        <v>34874.021660000006</v>
      </c>
      <c r="I15" s="67">
        <v>313458.6530600001</v>
      </c>
      <c r="J15" s="67">
        <v>243149.6515</v>
      </c>
      <c r="K15" s="64">
        <v>237245.80555999998</v>
      </c>
    </row>
    <row r="16" spans="2:11" ht="15">
      <c r="B16" s="54"/>
      <c r="C16" s="54" t="s">
        <v>84</v>
      </c>
      <c r="D16" s="40">
        <f aca="true" t="shared" si="0" ref="D16:I16">SUM(D8:D15)</f>
        <v>14913474.148899995</v>
      </c>
      <c r="E16" s="40">
        <f t="shared" si="0"/>
        <v>16220633.887490014</v>
      </c>
      <c r="F16" s="40">
        <f t="shared" si="0"/>
        <v>17340017.016000006</v>
      </c>
      <c r="G16" s="40">
        <f t="shared" si="0"/>
        <v>20774662.523579977</v>
      </c>
      <c r="H16" s="40">
        <f t="shared" si="0"/>
        <v>22505472.66299001</v>
      </c>
      <c r="I16" s="40">
        <f t="shared" si="0"/>
        <v>24240829.006759994</v>
      </c>
      <c r="J16" s="40">
        <f>SUM(J8:J15)</f>
        <v>24929776.210749988</v>
      </c>
      <c r="K16" s="40">
        <f>SUM(K8:K15)</f>
        <v>26394824.69624999</v>
      </c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6:K1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3:K22"/>
  <sheetViews>
    <sheetView showGridLines="0" zoomScale="8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5.421875" style="0" customWidth="1"/>
    <col min="2" max="2" width="7.28125" style="0" customWidth="1"/>
    <col min="3" max="3" width="56.57421875" style="0" bestFit="1" customWidth="1"/>
    <col min="4" max="11" width="16.00390625" style="0" customWidth="1"/>
    <col min="13" max="13" width="16.57421875" style="0" bestFit="1" customWidth="1"/>
    <col min="14" max="14" width="12.7109375" style="0" bestFit="1" customWidth="1"/>
  </cols>
  <sheetData>
    <row r="3" spans="2:11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 t="s">
        <v>88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4" t="s">
        <v>229</v>
      </c>
      <c r="D7" s="54">
        <v>2009</v>
      </c>
      <c r="E7" s="54">
        <v>2010</v>
      </c>
      <c r="F7" s="54">
        <v>2011</v>
      </c>
      <c r="G7" s="54">
        <v>2012</v>
      </c>
      <c r="H7" s="54">
        <v>2013</v>
      </c>
      <c r="I7" s="148">
        <v>2014</v>
      </c>
      <c r="J7" s="54">
        <v>2015</v>
      </c>
      <c r="K7" s="148">
        <v>2016</v>
      </c>
    </row>
    <row r="8" spans="2:11" ht="15">
      <c r="B8" s="85">
        <v>1.1</v>
      </c>
      <c r="C8" s="85" t="s">
        <v>76</v>
      </c>
      <c r="D8" s="86">
        <v>1441641.3990099994</v>
      </c>
      <c r="E8" s="86">
        <v>1657927.1992200022</v>
      </c>
      <c r="F8" s="86">
        <v>1920308.4819999968</v>
      </c>
      <c r="G8" s="86">
        <v>2256645.309290003</v>
      </c>
      <c r="H8" s="86">
        <v>2580785.819899998</v>
      </c>
      <c r="I8" s="86">
        <v>2609568.3739699977</v>
      </c>
      <c r="J8" s="86">
        <v>2881529.1540499995</v>
      </c>
      <c r="K8" s="64">
        <v>3139357.7992900047</v>
      </c>
    </row>
    <row r="9" spans="2:11" ht="15">
      <c r="B9" s="4">
        <v>1.2</v>
      </c>
      <c r="C9" s="4" t="s">
        <v>77</v>
      </c>
      <c r="D9" s="64">
        <v>674.42335</v>
      </c>
      <c r="E9" s="64">
        <v>450.34901999999994</v>
      </c>
      <c r="F9" s="64">
        <v>433.27337</v>
      </c>
      <c r="G9" s="64">
        <v>430.59901999999994</v>
      </c>
      <c r="H9" s="64">
        <v>430.84180000000003</v>
      </c>
      <c r="I9" s="64">
        <v>744.7103499999998</v>
      </c>
      <c r="J9" s="64">
        <v>416.30591</v>
      </c>
      <c r="K9" s="64">
        <v>442.46596999999997</v>
      </c>
    </row>
    <row r="10" spans="2:11" ht="15">
      <c r="B10" s="4">
        <v>1.3</v>
      </c>
      <c r="C10" s="4" t="s">
        <v>78</v>
      </c>
      <c r="D10" s="64">
        <v>1922439.219049996</v>
      </c>
      <c r="E10" s="64">
        <v>1968537.2847299974</v>
      </c>
      <c r="F10" s="64">
        <v>2132967.95431</v>
      </c>
      <c r="G10" s="64">
        <v>2401743.088830007</v>
      </c>
      <c r="H10" s="64">
        <v>2268994.8627799978</v>
      </c>
      <c r="I10" s="64">
        <v>2236197.039099998</v>
      </c>
      <c r="J10" s="64">
        <v>2299899.218570003</v>
      </c>
      <c r="K10" s="64">
        <v>2515598.4450299996</v>
      </c>
    </row>
    <row r="11" spans="2:11" ht="15">
      <c r="B11" s="4">
        <v>1.4</v>
      </c>
      <c r="C11" s="4" t="s">
        <v>1</v>
      </c>
      <c r="D11" s="64">
        <v>8399712.09648</v>
      </c>
      <c r="E11" s="64">
        <v>10589711.676420044</v>
      </c>
      <c r="F11" s="64">
        <v>12578124.314580062</v>
      </c>
      <c r="G11" s="64">
        <v>14389724.734819872</v>
      </c>
      <c r="H11" s="64">
        <v>13846655.01648004</v>
      </c>
      <c r="I11" s="64">
        <v>14516593.375479978</v>
      </c>
      <c r="J11" s="64">
        <v>12419405.307410061</v>
      </c>
      <c r="K11" s="64">
        <v>10912690.123909997</v>
      </c>
    </row>
    <row r="12" spans="2:11" ht="15">
      <c r="B12" s="4">
        <v>1.5</v>
      </c>
      <c r="C12" s="4" t="s">
        <v>79</v>
      </c>
      <c r="D12" s="64">
        <v>633308.4476400025</v>
      </c>
      <c r="E12" s="64">
        <v>559784.166800001</v>
      </c>
      <c r="F12" s="64">
        <v>662964.848110002</v>
      </c>
      <c r="G12" s="64">
        <v>789672.8233599954</v>
      </c>
      <c r="H12" s="64">
        <v>960976.6209199955</v>
      </c>
      <c r="I12" s="64">
        <v>999306.9660799997</v>
      </c>
      <c r="J12" s="64">
        <v>1038649.725790001</v>
      </c>
      <c r="K12" s="64">
        <v>1257142.7515500009</v>
      </c>
    </row>
    <row r="13" spans="2:11" ht="15">
      <c r="B13" s="4">
        <v>1.6</v>
      </c>
      <c r="C13" s="4" t="s">
        <v>80</v>
      </c>
      <c r="D13" s="64">
        <v>25631.254930000003</v>
      </c>
      <c r="E13" s="64">
        <v>77824.05576999999</v>
      </c>
      <c r="F13" s="64">
        <v>41809.53500999999</v>
      </c>
      <c r="G13" s="64">
        <v>42038.66956</v>
      </c>
      <c r="H13" s="64">
        <v>62328.415530000006</v>
      </c>
      <c r="I13" s="64">
        <v>51444.732330000006</v>
      </c>
      <c r="J13" s="64">
        <v>25492.96034</v>
      </c>
      <c r="K13" s="64">
        <v>33058.2805</v>
      </c>
    </row>
    <row r="14" spans="2:11" ht="15">
      <c r="B14" s="4">
        <v>1.7</v>
      </c>
      <c r="C14" s="4" t="s">
        <v>81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</row>
    <row r="15" spans="2:11" ht="15">
      <c r="B15" s="4">
        <v>1.8</v>
      </c>
      <c r="C15" s="4" t="s">
        <v>82</v>
      </c>
      <c r="D15" s="64">
        <v>334324.52082000003</v>
      </c>
      <c r="E15" s="64">
        <v>244312.51263</v>
      </c>
      <c r="F15" s="64">
        <v>145866.63443000003</v>
      </c>
      <c r="G15" s="64">
        <v>200452.53256999998</v>
      </c>
      <c r="H15" s="64">
        <v>644548.8176500006</v>
      </c>
      <c r="I15" s="64">
        <v>466716.49105000024</v>
      </c>
      <c r="J15" s="64">
        <v>1184923.5502900002</v>
      </c>
      <c r="K15" s="64">
        <v>2801744.8249199996</v>
      </c>
    </row>
    <row r="16" spans="2:11" ht="15">
      <c r="B16" s="66">
        <v>1.9</v>
      </c>
      <c r="C16" s="66" t="s">
        <v>83</v>
      </c>
      <c r="D16" s="67">
        <v>6196321.0695199985</v>
      </c>
      <c r="E16" s="67">
        <v>5549591.162820013</v>
      </c>
      <c r="F16" s="67">
        <v>4058044.4386800025</v>
      </c>
      <c r="G16" s="67">
        <v>7063429.660059983</v>
      </c>
      <c r="H16" s="67">
        <v>7212071.5537100015</v>
      </c>
      <c r="I16" s="67">
        <v>6005024.277839991</v>
      </c>
      <c r="J16" s="67">
        <v>4571314.831709989</v>
      </c>
      <c r="K16" s="64">
        <v>6282399.285569986</v>
      </c>
    </row>
    <row r="17" spans="2:11" ht="15">
      <c r="B17" s="54"/>
      <c r="C17" s="54" t="s">
        <v>84</v>
      </c>
      <c r="D17" s="40">
        <f>SUM(D8:D16)</f>
        <v>18954052.4308</v>
      </c>
      <c r="E17" s="40">
        <f aca="true" t="shared" si="0" ref="E17:K17">SUM(E8:E16)</f>
        <v>20648138.407410063</v>
      </c>
      <c r="F17" s="40">
        <f t="shared" si="0"/>
        <v>21540519.48049006</v>
      </c>
      <c r="G17" s="40">
        <f t="shared" si="0"/>
        <v>27144137.41750986</v>
      </c>
      <c r="H17" s="40">
        <f t="shared" si="0"/>
        <v>27576791.948770035</v>
      </c>
      <c r="I17" s="40">
        <f t="shared" si="0"/>
        <v>26885595.966199964</v>
      </c>
      <c r="J17" s="40">
        <f t="shared" si="0"/>
        <v>24421631.05407005</v>
      </c>
      <c r="K17" s="40">
        <f t="shared" si="0"/>
        <v>26942433.976739988</v>
      </c>
    </row>
    <row r="18" spans="2:11" ht="15">
      <c r="B18" s="66"/>
      <c r="C18" s="87" t="s">
        <v>230</v>
      </c>
      <c r="D18" s="64">
        <v>2825853.8064499986</v>
      </c>
      <c r="E18" s="64">
        <v>1790549.8021000004</v>
      </c>
      <c r="F18" s="64">
        <v>2860041.391420001</v>
      </c>
      <c r="G18" s="64">
        <v>2983534.5826000003</v>
      </c>
      <c r="H18" s="64">
        <v>3811352.9192800014</v>
      </c>
      <c r="I18" s="64">
        <v>3533616.0669700024</v>
      </c>
      <c r="J18" s="64">
        <v>3664916.2066200003</v>
      </c>
      <c r="K18" s="64">
        <v>3128188.4704800006</v>
      </c>
    </row>
    <row r="19" spans="2:11" ht="15">
      <c r="B19" s="54"/>
      <c r="C19" s="54" t="s">
        <v>84</v>
      </c>
      <c r="D19" s="40">
        <f aca="true" t="shared" si="1" ref="D19:K19">SUM(D17:D18)</f>
        <v>21779906.237249997</v>
      </c>
      <c r="E19" s="40">
        <f t="shared" si="1"/>
        <v>22438688.209510062</v>
      </c>
      <c r="F19" s="40">
        <f t="shared" si="1"/>
        <v>24400560.871910058</v>
      </c>
      <c r="G19" s="40">
        <f t="shared" si="1"/>
        <v>30127672.000109863</v>
      </c>
      <c r="H19" s="40">
        <f t="shared" si="1"/>
        <v>31388144.868050035</v>
      </c>
      <c r="I19" s="40">
        <f t="shared" si="1"/>
        <v>30419212.033169966</v>
      </c>
      <c r="J19" s="40">
        <f t="shared" si="1"/>
        <v>28086547.260690052</v>
      </c>
      <c r="K19" s="40">
        <f t="shared" si="1"/>
        <v>30070622.44721999</v>
      </c>
    </row>
    <row r="20" spans="2:11" ht="15"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2:11" ht="15">
      <c r="B21" s="62"/>
      <c r="C21" s="88" t="s">
        <v>87</v>
      </c>
      <c r="D21" s="62"/>
      <c r="E21" s="62"/>
      <c r="F21" s="62"/>
      <c r="G21" s="62"/>
      <c r="H21" s="62"/>
      <c r="I21" s="62"/>
      <c r="J21" s="62"/>
      <c r="K21" s="62"/>
    </row>
    <row r="22" spans="2:11" ht="15">
      <c r="B22" s="62"/>
      <c r="C22" s="89" t="s">
        <v>235</v>
      </c>
      <c r="D22" s="62"/>
      <c r="E22" s="62"/>
      <c r="F22" s="62"/>
      <c r="G22" s="62"/>
      <c r="H22" s="62"/>
      <c r="I22" s="62"/>
      <c r="J22" s="62"/>
      <c r="K22" s="62"/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7:K17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K16"/>
  <sheetViews>
    <sheetView showGridLines="0" zoomScale="80" zoomScaleNormal="80" zoomScalePageLayoutView="0" workbookViewId="0" topLeftCell="A1">
      <selection activeCell="E9" sqref="E9"/>
    </sheetView>
  </sheetViews>
  <sheetFormatPr defaultColWidth="11.421875" defaultRowHeight="12.75"/>
  <cols>
    <col min="1" max="1" width="5.421875" style="0" customWidth="1"/>
    <col min="2" max="2" width="7.28125" style="0" customWidth="1"/>
    <col min="3" max="3" width="56.57421875" style="0" bestFit="1" customWidth="1"/>
    <col min="4" max="6" width="16.57421875" style="0" bestFit="1" customWidth="1"/>
    <col min="7" max="8" width="17.57421875" style="0" bestFit="1" customWidth="1"/>
    <col min="9" max="9" width="17.57421875" style="0" customWidth="1"/>
    <col min="10" max="10" width="17.57421875" style="0" bestFit="1" customWidth="1"/>
    <col min="11" max="11" width="17.57421875" style="0" customWidth="1"/>
    <col min="12" max="12" width="16.57421875" style="0" bestFit="1" customWidth="1"/>
    <col min="13" max="13" width="12.7109375" style="0" bestFit="1" customWidth="1"/>
  </cols>
  <sheetData>
    <row r="3" spans="2:11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 t="s">
        <v>101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4" t="s">
        <v>91</v>
      </c>
      <c r="D7" s="54">
        <v>2009</v>
      </c>
      <c r="E7" s="54">
        <v>2010</v>
      </c>
      <c r="F7" s="54">
        <v>2011</v>
      </c>
      <c r="G7" s="54">
        <v>2012</v>
      </c>
      <c r="H7" s="54">
        <v>2013</v>
      </c>
      <c r="I7" s="148">
        <v>2014</v>
      </c>
      <c r="J7" s="54">
        <v>2015</v>
      </c>
      <c r="K7" s="148">
        <v>2016</v>
      </c>
    </row>
    <row r="8" spans="2:11" ht="15">
      <c r="B8" s="85">
        <v>2.1</v>
      </c>
      <c r="C8" s="4" t="s">
        <v>92</v>
      </c>
      <c r="D8" s="64">
        <v>1872843.439479998</v>
      </c>
      <c r="E8" s="64">
        <v>2132673.599990001</v>
      </c>
      <c r="F8" s="64">
        <v>2258239.890449993</v>
      </c>
      <c r="G8" s="64">
        <v>2105185.779799999</v>
      </c>
      <c r="H8" s="64">
        <v>2248285.246070006</v>
      </c>
      <c r="I8" s="64">
        <v>2407858.4887599987</v>
      </c>
      <c r="J8" s="64">
        <v>2406409.7928699986</v>
      </c>
      <c r="K8" s="64">
        <v>2495114.263169998</v>
      </c>
    </row>
    <row r="9" spans="2:11" ht="15">
      <c r="B9" s="4">
        <v>2.2</v>
      </c>
      <c r="C9" s="4" t="s">
        <v>93</v>
      </c>
      <c r="D9" s="64">
        <v>654022.9036700003</v>
      </c>
      <c r="E9" s="64">
        <v>660459.4912299997</v>
      </c>
      <c r="F9" s="64">
        <v>694778.1195799995</v>
      </c>
      <c r="G9" s="64">
        <v>695584.0477000002</v>
      </c>
      <c r="H9" s="64">
        <v>737947.3627900004</v>
      </c>
      <c r="I9" s="64">
        <v>743900.2279399993</v>
      </c>
      <c r="J9" s="64">
        <v>762566.0553200007</v>
      </c>
      <c r="K9" s="64">
        <v>761267.5739899988</v>
      </c>
    </row>
    <row r="10" spans="2:11" ht="15">
      <c r="B10" s="4">
        <v>2.3</v>
      </c>
      <c r="C10" s="4" t="s">
        <v>94</v>
      </c>
      <c r="D10" s="64">
        <v>3552043.2410199717</v>
      </c>
      <c r="E10" s="64">
        <v>4163659.4877000027</v>
      </c>
      <c r="F10" s="64">
        <v>4700388.445599993</v>
      </c>
      <c r="G10" s="64">
        <v>6409395.237129991</v>
      </c>
      <c r="H10" s="64">
        <v>6798202.509290021</v>
      </c>
      <c r="I10" s="64">
        <v>7156792.639769972</v>
      </c>
      <c r="J10" s="64">
        <v>6913829.990229998</v>
      </c>
      <c r="K10" s="64">
        <v>7606601.613110026</v>
      </c>
    </row>
    <row r="11" spans="2:11" ht="15">
      <c r="B11" s="4">
        <v>2.4</v>
      </c>
      <c r="C11" s="4" t="s">
        <v>1</v>
      </c>
      <c r="D11" s="64">
        <v>628988.1844399995</v>
      </c>
      <c r="E11" s="64">
        <v>700429.8672100002</v>
      </c>
      <c r="F11" s="64">
        <v>905656.1013800004</v>
      </c>
      <c r="G11" s="64">
        <v>1061786.1935000003</v>
      </c>
      <c r="H11" s="64">
        <v>1055346.8657800003</v>
      </c>
      <c r="I11" s="64">
        <v>958330.9900600003</v>
      </c>
      <c r="J11" s="64">
        <v>915732.6589700002</v>
      </c>
      <c r="K11" s="64">
        <v>871765.4349500001</v>
      </c>
    </row>
    <row r="12" spans="2:11" ht="15">
      <c r="B12" s="4">
        <v>2.5</v>
      </c>
      <c r="C12" s="4" t="s">
        <v>95</v>
      </c>
      <c r="D12" s="64">
        <v>113582.38276000001</v>
      </c>
      <c r="E12" s="64">
        <v>145341.7792399998</v>
      </c>
      <c r="F12" s="64">
        <v>190274.5574999997</v>
      </c>
      <c r="G12" s="64">
        <v>199381.4476100003</v>
      </c>
      <c r="H12" s="64">
        <v>215694.72801000002</v>
      </c>
      <c r="I12" s="64">
        <v>198174.14542000013</v>
      </c>
      <c r="J12" s="64">
        <v>200921.61261000016</v>
      </c>
      <c r="K12" s="64">
        <v>215458.55336000017</v>
      </c>
    </row>
    <row r="13" spans="2:11" ht="15">
      <c r="B13" s="4">
        <v>2.6</v>
      </c>
      <c r="C13" s="4" t="s">
        <v>96</v>
      </c>
      <c r="D13" s="64">
        <v>9210064.254689919</v>
      </c>
      <c r="E13" s="64">
        <v>10014056.505720004</v>
      </c>
      <c r="F13" s="64">
        <v>8526232.601099992</v>
      </c>
      <c r="G13" s="64">
        <v>12306433.0083699</v>
      </c>
      <c r="H13" s="64">
        <v>14187416.481809841</v>
      </c>
      <c r="I13" s="64">
        <v>14075363.258369984</v>
      </c>
      <c r="J13" s="64">
        <v>10872150.118539965</v>
      </c>
      <c r="K13" s="64">
        <v>11819749.928290002</v>
      </c>
    </row>
    <row r="14" spans="2:11" ht="15">
      <c r="B14" s="4">
        <v>2.7</v>
      </c>
      <c r="C14" s="4" t="s">
        <v>97</v>
      </c>
      <c r="D14" s="64">
        <v>1002</v>
      </c>
      <c r="E14" s="64">
        <v>454.99903</v>
      </c>
      <c r="F14" s="64">
        <v>27110.1597</v>
      </c>
      <c r="G14" s="64">
        <v>68.519</v>
      </c>
      <c r="H14" s="64">
        <v>0</v>
      </c>
      <c r="I14" s="64">
        <v>7000</v>
      </c>
      <c r="J14" s="64">
        <v>0</v>
      </c>
      <c r="K14" s="64">
        <v>0</v>
      </c>
    </row>
    <row r="15" spans="2:11" ht="15">
      <c r="B15" s="66">
        <v>2.8</v>
      </c>
      <c r="C15" s="66" t="s">
        <v>98</v>
      </c>
      <c r="D15" s="67">
        <v>260440.4839100001</v>
      </c>
      <c r="E15" s="67">
        <v>390043.31837999984</v>
      </c>
      <c r="F15" s="67">
        <v>208027.36294000017</v>
      </c>
      <c r="G15" s="67">
        <v>293899.06293000025</v>
      </c>
      <c r="H15" s="67">
        <v>387170.1604000004</v>
      </c>
      <c r="I15" s="67">
        <v>354067.44344999996</v>
      </c>
      <c r="J15" s="67">
        <v>245691.21486999994</v>
      </c>
      <c r="K15" s="64">
        <v>339288.24363999994</v>
      </c>
    </row>
    <row r="16" spans="2:11" ht="15">
      <c r="B16" s="54"/>
      <c r="C16" s="54" t="s">
        <v>84</v>
      </c>
      <c r="D16" s="40">
        <f aca="true" t="shared" si="0" ref="D16:K16">SUM(D8:D15)</f>
        <v>16292986.889969887</v>
      </c>
      <c r="E16" s="40">
        <f t="shared" si="0"/>
        <v>18207119.04850001</v>
      </c>
      <c r="F16" s="40">
        <f t="shared" si="0"/>
        <v>17510707.238249972</v>
      </c>
      <c r="G16" s="40">
        <f t="shared" si="0"/>
        <v>23071733.29603989</v>
      </c>
      <c r="H16" s="40">
        <f t="shared" si="0"/>
        <v>25630063.354149867</v>
      </c>
      <c r="I16" s="40">
        <f t="shared" si="0"/>
        <v>25901487.193769954</v>
      </c>
      <c r="J16" s="40">
        <f t="shared" si="0"/>
        <v>22317301.443409957</v>
      </c>
      <c r="K16" s="40">
        <f t="shared" si="0"/>
        <v>24109245.61051002</v>
      </c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6:K16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="80" zoomScaleNormal="80" zoomScalePageLayoutView="0" workbookViewId="0" topLeftCell="A19">
      <selection activeCell="F11" sqref="F11"/>
    </sheetView>
  </sheetViews>
  <sheetFormatPr defaultColWidth="11.421875" defaultRowHeight="12.75"/>
  <cols>
    <col min="2" max="2" width="65.140625" style="0" customWidth="1"/>
    <col min="3" max="10" width="16.140625" style="0" customWidth="1"/>
  </cols>
  <sheetData>
    <row r="2" spans="2:15" ht="15">
      <c r="B2" s="219" t="s">
        <v>13</v>
      </c>
      <c r="C2" s="219"/>
      <c r="D2" s="219"/>
      <c r="E2" s="219"/>
      <c r="F2" s="219"/>
      <c r="G2" s="219"/>
      <c r="H2" s="219"/>
      <c r="I2" s="219"/>
      <c r="J2" s="219"/>
      <c r="K2" s="177"/>
      <c r="L2" s="177"/>
      <c r="M2" s="177"/>
      <c r="N2" s="177"/>
      <c r="O2" s="177"/>
    </row>
    <row r="3" spans="2:15" ht="15">
      <c r="B3" s="219" t="s">
        <v>89</v>
      </c>
      <c r="C3" s="219"/>
      <c r="D3" s="219"/>
      <c r="E3" s="219"/>
      <c r="F3" s="219"/>
      <c r="G3" s="219"/>
      <c r="H3" s="219"/>
      <c r="I3" s="219"/>
      <c r="J3" s="219"/>
      <c r="K3" s="177"/>
      <c r="L3" s="177"/>
      <c r="M3" s="177"/>
      <c r="N3" s="177"/>
      <c r="O3" s="177"/>
    </row>
    <row r="4" spans="2:15" ht="15">
      <c r="B4" s="219" t="s">
        <v>238</v>
      </c>
      <c r="C4" s="219"/>
      <c r="D4" s="219"/>
      <c r="E4" s="219"/>
      <c r="F4" s="219"/>
      <c r="G4" s="219"/>
      <c r="H4" s="219"/>
      <c r="I4" s="219"/>
      <c r="J4" s="219"/>
      <c r="K4" s="177"/>
      <c r="L4" s="177"/>
      <c r="M4" s="177"/>
      <c r="N4" s="177"/>
      <c r="O4" s="177"/>
    </row>
    <row r="5" spans="1:15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2:10" ht="15">
      <c r="B7" s="174" t="s">
        <v>15</v>
      </c>
      <c r="C7" s="174">
        <v>2009</v>
      </c>
      <c r="D7" s="174">
        <v>2010</v>
      </c>
      <c r="E7" s="174">
        <v>2011</v>
      </c>
      <c r="F7" s="174">
        <v>2012</v>
      </c>
      <c r="G7" s="174">
        <v>2013</v>
      </c>
      <c r="H7" s="174">
        <v>2014</v>
      </c>
      <c r="I7" s="174">
        <v>2015</v>
      </c>
      <c r="J7" s="174">
        <v>2016</v>
      </c>
    </row>
    <row r="8" spans="2:10" ht="15">
      <c r="B8" s="175"/>
      <c r="C8" s="175"/>
      <c r="D8" s="175"/>
      <c r="E8" s="175"/>
      <c r="F8" s="175"/>
      <c r="G8" s="175"/>
      <c r="H8" s="175"/>
      <c r="I8" s="175"/>
      <c r="J8" s="65"/>
    </row>
    <row r="9" spans="2:10" ht="15">
      <c r="B9" s="178" t="s">
        <v>243</v>
      </c>
      <c r="C9" s="179">
        <f aca="true" t="shared" si="0" ref="C9:H9">SUM(C10:C18)</f>
        <v>3760798.586</v>
      </c>
      <c r="D9" s="179">
        <f t="shared" si="0"/>
        <v>3920174.336</v>
      </c>
      <c r="E9" s="179">
        <f t="shared" si="0"/>
        <v>4512353.4350000005</v>
      </c>
      <c r="F9" s="179">
        <f t="shared" si="0"/>
        <v>5092993.567</v>
      </c>
      <c r="G9" s="179">
        <f t="shared" si="0"/>
        <v>5512412.643999999</v>
      </c>
      <c r="H9" s="179">
        <f t="shared" si="0"/>
        <v>7102823.816</v>
      </c>
      <c r="I9" s="179">
        <f>SUM(I10:I18)</f>
        <v>8404758.649999999</v>
      </c>
      <c r="J9" s="179">
        <f>SUM(J10:J18)</f>
        <v>8881451.225</v>
      </c>
    </row>
    <row r="10" spans="2:10" ht="15">
      <c r="B10" s="175" t="s">
        <v>266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18">
        <v>0</v>
      </c>
    </row>
    <row r="11" spans="2:10" ht="15">
      <c r="B11" s="175" t="s">
        <v>274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18">
        <v>0</v>
      </c>
    </row>
    <row r="12" spans="2:10" ht="15">
      <c r="B12" s="175" t="s">
        <v>267</v>
      </c>
      <c r="C12" s="65">
        <v>8513.125</v>
      </c>
      <c r="D12" s="65">
        <v>13658.363</v>
      </c>
      <c r="E12" s="65">
        <v>3484.416</v>
      </c>
      <c r="F12" s="65">
        <v>6844.129</v>
      </c>
      <c r="G12" s="65">
        <v>11693.635</v>
      </c>
      <c r="H12" s="65">
        <v>13445.955</v>
      </c>
      <c r="I12" s="65">
        <v>11489.139</v>
      </c>
      <c r="J12" s="65">
        <v>6120.626</v>
      </c>
    </row>
    <row r="13" spans="2:10" ht="15">
      <c r="B13" s="175" t="s">
        <v>268</v>
      </c>
      <c r="C13" s="65">
        <v>0</v>
      </c>
      <c r="D13" s="65">
        <v>0</v>
      </c>
      <c r="E13" s="65">
        <v>0</v>
      </c>
      <c r="F13" s="65">
        <v>50000</v>
      </c>
      <c r="G13" s="65">
        <v>0</v>
      </c>
      <c r="H13" s="65">
        <v>601294.356</v>
      </c>
      <c r="I13" s="65">
        <v>1525173.601</v>
      </c>
      <c r="J13" s="65">
        <v>717598.482</v>
      </c>
    </row>
    <row r="14" spans="2:10" ht="15">
      <c r="B14" s="175" t="s">
        <v>269</v>
      </c>
      <c r="C14" s="65">
        <v>3721538.438</v>
      </c>
      <c r="D14" s="65">
        <v>3860870.946</v>
      </c>
      <c r="E14" s="65">
        <v>4453124.146</v>
      </c>
      <c r="F14" s="65">
        <v>4949901.33</v>
      </c>
      <c r="G14" s="65">
        <v>5374794.032</v>
      </c>
      <c r="H14" s="65">
        <v>6188083.505</v>
      </c>
      <c r="I14" s="65">
        <v>6863244.198</v>
      </c>
      <c r="J14" s="65">
        <v>7499174.85</v>
      </c>
    </row>
    <row r="15" spans="2:10" ht="15">
      <c r="B15" s="175" t="s">
        <v>270</v>
      </c>
      <c r="C15" s="65">
        <v>0</v>
      </c>
      <c r="D15" s="65">
        <v>0</v>
      </c>
      <c r="E15" s="65">
        <v>0</v>
      </c>
      <c r="F15" s="65">
        <v>6758.831</v>
      </c>
      <c r="G15" s="65">
        <v>0</v>
      </c>
      <c r="H15" s="65">
        <v>0</v>
      </c>
      <c r="I15" s="65">
        <v>0</v>
      </c>
      <c r="J15" s="18">
        <v>46800.329</v>
      </c>
    </row>
    <row r="16" spans="2:10" ht="15">
      <c r="B16" s="175" t="s">
        <v>271</v>
      </c>
      <c r="C16" s="65">
        <v>1255.473</v>
      </c>
      <c r="D16" s="65">
        <v>931.845</v>
      </c>
      <c r="E16" s="65">
        <v>150.326</v>
      </c>
      <c r="F16" s="65">
        <v>10000</v>
      </c>
      <c r="G16" s="65">
        <v>54804.083</v>
      </c>
      <c r="H16" s="65">
        <v>0</v>
      </c>
      <c r="I16" s="65">
        <v>4851.712</v>
      </c>
      <c r="J16" s="65">
        <v>361756.938</v>
      </c>
    </row>
    <row r="17" spans="2:10" ht="15">
      <c r="B17" s="175" t="s">
        <v>272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300000</v>
      </c>
      <c r="I17" s="65">
        <v>0</v>
      </c>
      <c r="J17" s="18">
        <v>250000</v>
      </c>
    </row>
    <row r="18" spans="2:10" ht="15">
      <c r="B18" s="175" t="s">
        <v>273</v>
      </c>
      <c r="C18" s="65">
        <v>29491.55</v>
      </c>
      <c r="D18" s="65">
        <v>44713.182</v>
      </c>
      <c r="E18" s="65">
        <v>55594.547</v>
      </c>
      <c r="F18" s="65">
        <v>69489.277</v>
      </c>
      <c r="G18" s="65">
        <v>71120.894</v>
      </c>
      <c r="H18" s="65">
        <v>0</v>
      </c>
      <c r="I18" s="65">
        <v>0</v>
      </c>
      <c r="J18" s="18">
        <v>0</v>
      </c>
    </row>
    <row r="19" spans="2:10" ht="15">
      <c r="B19" s="175"/>
      <c r="C19" s="175"/>
      <c r="D19" s="175"/>
      <c r="E19" s="175"/>
      <c r="F19" s="175"/>
      <c r="G19" s="175"/>
      <c r="H19" s="175"/>
      <c r="I19" s="175"/>
      <c r="J19" s="65"/>
    </row>
    <row r="20" spans="2:10" ht="15">
      <c r="B20" s="178" t="s">
        <v>244</v>
      </c>
      <c r="C20" s="179">
        <f aca="true" t="shared" si="1" ref="C20:I20">SUM(C21:C29)</f>
        <v>24335850.189000003</v>
      </c>
      <c r="D20" s="179">
        <f t="shared" si="1"/>
        <v>28215826.851</v>
      </c>
      <c r="E20" s="179">
        <f t="shared" si="1"/>
        <v>34794245.234</v>
      </c>
      <c r="F20" s="179">
        <f t="shared" si="1"/>
        <v>34020912.094</v>
      </c>
      <c r="G20" s="179">
        <f t="shared" si="1"/>
        <v>42028460.69</v>
      </c>
      <c r="H20" s="179">
        <f t="shared" si="1"/>
        <v>44198319.958</v>
      </c>
      <c r="I20" s="179">
        <f t="shared" si="1"/>
        <v>39879905.129</v>
      </c>
      <c r="J20" s="179">
        <f>SUM(J21:J29)</f>
        <v>37034513.171</v>
      </c>
    </row>
    <row r="21" spans="2:10" ht="15">
      <c r="B21" s="175" t="s">
        <v>266</v>
      </c>
      <c r="C21" s="65">
        <v>90.50000000000001</v>
      </c>
      <c r="D21" s="65">
        <v>0</v>
      </c>
      <c r="E21" s="65">
        <v>8935.452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2:10" ht="15">
      <c r="B22" s="175" t="s">
        <v>274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2:10" ht="15">
      <c r="B23" s="175" t="s">
        <v>267</v>
      </c>
      <c r="C23" s="65">
        <v>17105198.778</v>
      </c>
      <c r="D23" s="65">
        <v>20693910.431</v>
      </c>
      <c r="E23" s="65">
        <v>26074834.902</v>
      </c>
      <c r="F23" s="65">
        <v>27336739.242</v>
      </c>
      <c r="G23" s="65">
        <v>29470829.78</v>
      </c>
      <c r="H23" s="65">
        <v>29959341.722</v>
      </c>
      <c r="I23" s="65">
        <v>24676658.729</v>
      </c>
      <c r="J23" s="65">
        <v>24365425.163</v>
      </c>
    </row>
    <row r="24" spans="2:10" ht="15">
      <c r="B24" s="175" t="s">
        <v>268</v>
      </c>
      <c r="C24" s="65">
        <v>666713.254</v>
      </c>
      <c r="D24" s="65">
        <v>558396.514</v>
      </c>
      <c r="E24" s="65">
        <v>439107.395</v>
      </c>
      <c r="F24" s="65">
        <v>734905.847</v>
      </c>
      <c r="G24" s="65">
        <v>1323524.302</v>
      </c>
      <c r="H24" s="65">
        <v>884614.777</v>
      </c>
      <c r="I24" s="65">
        <v>525492.32</v>
      </c>
      <c r="J24" s="65">
        <v>208131.348</v>
      </c>
    </row>
    <row r="25" spans="2:10" ht="15">
      <c r="B25" s="175" t="s">
        <v>269</v>
      </c>
      <c r="C25" s="65">
        <v>2414530.113</v>
      </c>
      <c r="D25" s="65">
        <v>1401299.527</v>
      </c>
      <c r="E25" s="65">
        <v>2490337.483</v>
      </c>
      <c r="F25" s="65">
        <v>1493975.735</v>
      </c>
      <c r="G25" s="65">
        <v>1431397.413</v>
      </c>
      <c r="H25" s="65">
        <v>1327858.728</v>
      </c>
      <c r="I25" s="65">
        <v>1973161.141</v>
      </c>
      <c r="J25" s="65">
        <v>2387011.312</v>
      </c>
    </row>
    <row r="26" spans="2:10" ht="15">
      <c r="B26" s="175" t="s">
        <v>270</v>
      </c>
      <c r="C26" s="65">
        <v>10263.668999999998</v>
      </c>
      <c r="D26" s="65">
        <v>83574.67</v>
      </c>
      <c r="E26" s="65">
        <v>90257.183</v>
      </c>
      <c r="F26" s="65">
        <v>69855.082</v>
      </c>
      <c r="G26" s="65">
        <v>94864.777</v>
      </c>
      <c r="H26" s="65">
        <v>54079.76099999999</v>
      </c>
      <c r="I26" s="65">
        <v>68004.192</v>
      </c>
      <c r="J26" s="65">
        <v>170176.594</v>
      </c>
    </row>
    <row r="27" spans="2:10" ht="15">
      <c r="B27" s="175" t="s">
        <v>271</v>
      </c>
      <c r="C27" s="65">
        <v>30719.616</v>
      </c>
      <c r="D27" s="65">
        <v>224759.866</v>
      </c>
      <c r="E27" s="65">
        <v>83784.786</v>
      </c>
      <c r="F27" s="65">
        <v>97483.543</v>
      </c>
      <c r="G27" s="65">
        <v>49646.003</v>
      </c>
      <c r="H27" s="65">
        <v>37707.421</v>
      </c>
      <c r="I27" s="65">
        <v>140654.895</v>
      </c>
      <c r="J27" s="65">
        <v>70891.875</v>
      </c>
    </row>
    <row r="28" spans="2:10" ht="15">
      <c r="B28" s="175" t="s">
        <v>272</v>
      </c>
      <c r="C28" s="65">
        <v>3714224.392</v>
      </c>
      <c r="D28" s="65">
        <v>4965893.279</v>
      </c>
      <c r="E28" s="65">
        <v>5410415.007</v>
      </c>
      <c r="F28" s="65">
        <v>4010246.928</v>
      </c>
      <c r="G28" s="65">
        <v>9319297.019</v>
      </c>
      <c r="H28" s="65">
        <v>11318806.082</v>
      </c>
      <c r="I28" s="65">
        <v>9882319.887</v>
      </c>
      <c r="J28" s="65">
        <v>9142046.744</v>
      </c>
    </row>
    <row r="29" spans="2:10" ht="15">
      <c r="B29" s="175" t="s">
        <v>273</v>
      </c>
      <c r="C29" s="65">
        <v>394109.867</v>
      </c>
      <c r="D29" s="65">
        <v>287992.564</v>
      </c>
      <c r="E29" s="65">
        <v>196573.026</v>
      </c>
      <c r="F29" s="65">
        <v>277705.717</v>
      </c>
      <c r="G29" s="65">
        <v>338901.396</v>
      </c>
      <c r="H29" s="65">
        <v>615911.467</v>
      </c>
      <c r="I29" s="65">
        <v>2613613.9650000003</v>
      </c>
      <c r="J29" s="65">
        <v>690830.135</v>
      </c>
    </row>
    <row r="30" spans="2:10" ht="15">
      <c r="B30" s="176"/>
      <c r="C30" s="176"/>
      <c r="D30" s="176"/>
      <c r="E30" s="176"/>
      <c r="F30" s="176"/>
      <c r="G30" s="176"/>
      <c r="H30" s="176"/>
      <c r="I30" s="176"/>
      <c r="J30" s="65"/>
    </row>
    <row r="31" spans="2:10" ht="15">
      <c r="B31" s="201" t="s">
        <v>257</v>
      </c>
      <c r="C31" s="202">
        <f aca="true" t="shared" si="2" ref="C31:I31">SUM(C9,C20)</f>
        <v>28096648.775000002</v>
      </c>
      <c r="D31" s="202">
        <f t="shared" si="2"/>
        <v>32136001.187</v>
      </c>
      <c r="E31" s="202">
        <f t="shared" si="2"/>
        <v>39306598.669</v>
      </c>
      <c r="F31" s="202">
        <f t="shared" si="2"/>
        <v>39113905.661</v>
      </c>
      <c r="G31" s="202">
        <f t="shared" si="2"/>
        <v>47540873.334</v>
      </c>
      <c r="H31" s="202">
        <f t="shared" si="2"/>
        <v>51301143.774</v>
      </c>
      <c r="I31" s="202">
        <f t="shared" si="2"/>
        <v>48284663.779</v>
      </c>
      <c r="J31" s="202">
        <f>SUM(J9,J20)</f>
        <v>45915964.396</v>
      </c>
    </row>
  </sheetData>
  <sheetProtection/>
  <mergeCells count="3">
    <mergeCell ref="B2:J2"/>
    <mergeCell ref="B3:J3"/>
    <mergeCell ref="B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29"/>
  <sheetViews>
    <sheetView showGridLines="0" zoomScale="80" zoomScaleNormal="80" zoomScalePageLayoutView="0" workbookViewId="0" topLeftCell="A1">
      <selection activeCell="I38" sqref="I38"/>
    </sheetView>
  </sheetViews>
  <sheetFormatPr defaultColWidth="11.421875" defaultRowHeight="12.75"/>
  <cols>
    <col min="2" max="2" width="62.00390625" style="0" customWidth="1"/>
    <col min="3" max="10" width="16.140625" style="0" customWidth="1"/>
  </cols>
  <sheetData>
    <row r="2" spans="2:15" ht="15">
      <c r="B2" s="219" t="s">
        <v>13</v>
      </c>
      <c r="C2" s="219"/>
      <c r="D2" s="219"/>
      <c r="E2" s="219"/>
      <c r="F2" s="219"/>
      <c r="G2" s="219"/>
      <c r="H2" s="219"/>
      <c r="I2" s="219"/>
      <c r="J2" s="219"/>
      <c r="K2" s="177"/>
      <c r="L2" s="177"/>
      <c r="M2" s="177"/>
      <c r="N2" s="177"/>
      <c r="O2" s="177"/>
    </row>
    <row r="3" spans="2:15" ht="15">
      <c r="B3" s="219" t="s">
        <v>90</v>
      </c>
      <c r="C3" s="219"/>
      <c r="D3" s="219"/>
      <c r="E3" s="219"/>
      <c r="F3" s="219"/>
      <c r="G3" s="219"/>
      <c r="H3" s="219"/>
      <c r="I3" s="219"/>
      <c r="J3" s="219"/>
      <c r="K3" s="177"/>
      <c r="L3" s="177"/>
      <c r="M3" s="177"/>
      <c r="N3" s="177"/>
      <c r="O3" s="177"/>
    </row>
    <row r="4" spans="2:15" ht="15">
      <c r="B4" s="219" t="s">
        <v>238</v>
      </c>
      <c r="C4" s="219"/>
      <c r="D4" s="219"/>
      <c r="E4" s="219"/>
      <c r="F4" s="219"/>
      <c r="G4" s="219"/>
      <c r="H4" s="219"/>
      <c r="I4" s="219"/>
      <c r="J4" s="219"/>
      <c r="K4" s="177"/>
      <c r="L4" s="177"/>
      <c r="M4" s="177"/>
      <c r="N4" s="177"/>
      <c r="O4" s="177"/>
    </row>
    <row r="5" spans="1:15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2:10" ht="15">
      <c r="B7" s="174" t="s">
        <v>91</v>
      </c>
      <c r="C7" s="174">
        <v>2009</v>
      </c>
      <c r="D7" s="174">
        <v>2010</v>
      </c>
      <c r="E7" s="174">
        <v>2011</v>
      </c>
      <c r="F7" s="174">
        <v>2012</v>
      </c>
      <c r="G7" s="174">
        <v>2013</v>
      </c>
      <c r="H7" s="174">
        <v>2014</v>
      </c>
      <c r="I7" s="174">
        <v>2015</v>
      </c>
      <c r="J7" s="174">
        <v>2016</v>
      </c>
    </row>
    <row r="8" spans="2:10" ht="8.25" customHeight="1">
      <c r="B8" s="175"/>
      <c r="C8" s="175"/>
      <c r="D8" s="175"/>
      <c r="E8" s="175"/>
      <c r="F8" s="175"/>
      <c r="G8" s="175"/>
      <c r="H8" s="175"/>
      <c r="I8" s="175"/>
      <c r="J8" s="65"/>
    </row>
    <row r="9" spans="2:10" ht="15">
      <c r="B9" s="178" t="s">
        <v>243</v>
      </c>
      <c r="C9" s="179">
        <f aca="true" t="shared" si="0" ref="C9:J9">SUM(C10:C17)</f>
        <v>2560843.171</v>
      </c>
      <c r="D9" s="179">
        <f t="shared" si="0"/>
        <v>2777268.9129999997</v>
      </c>
      <c r="E9" s="179">
        <f t="shared" si="0"/>
        <v>3184887.5429999996</v>
      </c>
      <c r="F9" s="179">
        <f t="shared" si="0"/>
        <v>3395314.8170000003</v>
      </c>
      <c r="G9" s="179">
        <f t="shared" si="0"/>
        <v>3891493.6760000004</v>
      </c>
      <c r="H9" s="179">
        <f t="shared" si="0"/>
        <v>5337171.654</v>
      </c>
      <c r="I9" s="179">
        <f t="shared" si="0"/>
        <v>6802455.46</v>
      </c>
      <c r="J9" s="179">
        <f t="shared" si="0"/>
        <v>6431391.856</v>
      </c>
    </row>
    <row r="10" spans="2:10" ht="15">
      <c r="B10" s="65" t="s">
        <v>258</v>
      </c>
      <c r="C10" s="65">
        <v>689979.222</v>
      </c>
      <c r="D10" s="65">
        <v>811618.64</v>
      </c>
      <c r="E10" s="65">
        <v>1009820.06</v>
      </c>
      <c r="F10" s="65">
        <v>1063994.29</v>
      </c>
      <c r="G10" s="65">
        <v>1207635.558</v>
      </c>
      <c r="H10" s="65">
        <v>1278575.804</v>
      </c>
      <c r="I10" s="65">
        <v>1434124.625</v>
      </c>
      <c r="J10" s="65">
        <v>1539526.875</v>
      </c>
    </row>
    <row r="11" spans="2:10" ht="15">
      <c r="B11" s="175" t="s">
        <v>259</v>
      </c>
      <c r="C11" s="65">
        <v>216670.62</v>
      </c>
      <c r="D11" s="65">
        <v>202265.314</v>
      </c>
      <c r="E11" s="65">
        <v>195048.3</v>
      </c>
      <c r="F11" s="65">
        <v>190624.785</v>
      </c>
      <c r="G11" s="65">
        <v>188167.617</v>
      </c>
      <c r="H11" s="65">
        <v>190517.05</v>
      </c>
      <c r="I11" s="65">
        <v>184385.136</v>
      </c>
      <c r="J11" s="65">
        <v>184774.855</v>
      </c>
    </row>
    <row r="12" spans="2:10" ht="15">
      <c r="B12" s="175" t="s">
        <v>260</v>
      </c>
      <c r="C12" s="65">
        <v>1352569.248</v>
      </c>
      <c r="D12" s="65">
        <v>1432356.741</v>
      </c>
      <c r="E12" s="65">
        <v>1562922.413</v>
      </c>
      <c r="F12" s="65">
        <v>1730565.37</v>
      </c>
      <c r="G12" s="65">
        <v>2031207.957</v>
      </c>
      <c r="H12" s="65">
        <v>2409867.606</v>
      </c>
      <c r="I12" s="65">
        <v>2805139.717</v>
      </c>
      <c r="J12" s="65">
        <v>2917281.972</v>
      </c>
    </row>
    <row r="13" spans="2:10" ht="15">
      <c r="B13" s="175" t="s">
        <v>261</v>
      </c>
      <c r="C13" s="65">
        <v>0</v>
      </c>
      <c r="D13" s="65">
        <v>712.372</v>
      </c>
      <c r="E13" s="65">
        <v>567.052</v>
      </c>
      <c r="F13" s="65">
        <v>1686.739</v>
      </c>
      <c r="G13" s="65">
        <v>881.254</v>
      </c>
      <c r="H13" s="65">
        <v>776354.803</v>
      </c>
      <c r="I13" s="65">
        <v>1519725.225</v>
      </c>
      <c r="J13" s="65">
        <v>843320.799</v>
      </c>
    </row>
    <row r="14" spans="2:10" ht="15">
      <c r="B14" s="175" t="s">
        <v>262</v>
      </c>
      <c r="C14" s="65">
        <v>184269.852</v>
      </c>
      <c r="D14" s="65">
        <v>167096.326</v>
      </c>
      <c r="E14" s="65">
        <v>238122.087</v>
      </c>
      <c r="F14" s="65">
        <v>260689.099</v>
      </c>
      <c r="G14" s="65">
        <v>295960.966</v>
      </c>
      <c r="H14" s="65">
        <v>366991.31</v>
      </c>
      <c r="I14" s="65">
        <v>395104.516</v>
      </c>
      <c r="J14" s="65">
        <v>503836.579</v>
      </c>
    </row>
    <row r="15" spans="2:10" ht="15">
      <c r="B15" s="175" t="s">
        <v>263</v>
      </c>
      <c r="C15" s="65">
        <v>116990.768</v>
      </c>
      <c r="D15" s="65">
        <v>163144.909</v>
      </c>
      <c r="E15" s="65">
        <v>178304.618</v>
      </c>
      <c r="F15" s="65">
        <v>147712.685</v>
      </c>
      <c r="G15" s="65">
        <v>167640.324</v>
      </c>
      <c r="H15" s="65">
        <v>311865.081</v>
      </c>
      <c r="I15" s="65">
        <v>463847.534</v>
      </c>
      <c r="J15" s="65">
        <v>394609.683</v>
      </c>
    </row>
    <row r="16" spans="2:10" ht="15">
      <c r="B16" s="175" t="s">
        <v>264</v>
      </c>
      <c r="C16" s="65">
        <v>363.461</v>
      </c>
      <c r="D16" s="65">
        <v>74.611</v>
      </c>
      <c r="E16" s="65">
        <v>103.013</v>
      </c>
      <c r="F16" s="65">
        <v>41.849</v>
      </c>
      <c r="G16" s="65">
        <v>0</v>
      </c>
      <c r="H16" s="65">
        <v>3000</v>
      </c>
      <c r="I16" s="65">
        <v>128.707</v>
      </c>
      <c r="J16" s="65">
        <v>31564.962000000003</v>
      </c>
    </row>
    <row r="17" spans="2:10" ht="15">
      <c r="B17" s="175" t="s">
        <v>265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16476.131</v>
      </c>
    </row>
    <row r="18" spans="2:10" ht="9" customHeight="1">
      <c r="B18" s="175"/>
      <c r="C18" s="65"/>
      <c r="D18" s="65"/>
      <c r="E18" s="65"/>
      <c r="F18" s="65"/>
      <c r="G18" s="65"/>
      <c r="H18" s="65"/>
      <c r="I18" s="65"/>
      <c r="J18" s="65"/>
    </row>
    <row r="19" spans="2:10" ht="15">
      <c r="B19" s="178" t="s">
        <v>244</v>
      </c>
      <c r="C19" s="179">
        <f aca="true" t="shared" si="1" ref="C19:J19">SUM(C20:C27)</f>
        <v>23325854.979000002</v>
      </c>
      <c r="D19" s="179">
        <f t="shared" si="1"/>
        <v>26859912.373999998</v>
      </c>
      <c r="E19" s="179">
        <f t="shared" si="1"/>
        <v>33543984.998999998</v>
      </c>
      <c r="F19" s="179">
        <f t="shared" si="1"/>
        <v>31873161.531</v>
      </c>
      <c r="G19" s="179">
        <f t="shared" si="1"/>
        <v>39558096.12</v>
      </c>
      <c r="H19" s="179">
        <f t="shared" si="1"/>
        <v>40668295.878</v>
      </c>
      <c r="I19" s="179">
        <f t="shared" si="1"/>
        <v>36862822.336</v>
      </c>
      <c r="J19" s="179">
        <f t="shared" si="1"/>
        <v>35306686.604</v>
      </c>
    </row>
    <row r="20" spans="2:10" ht="15">
      <c r="B20" s="65" t="s">
        <v>258</v>
      </c>
      <c r="C20" s="65">
        <v>1454291.945</v>
      </c>
      <c r="D20" s="65">
        <v>1579290.671</v>
      </c>
      <c r="E20" s="65">
        <v>1698709.676</v>
      </c>
      <c r="F20" s="65">
        <v>1745317.387</v>
      </c>
      <c r="G20" s="65">
        <v>1905175.66</v>
      </c>
      <c r="H20" s="65">
        <v>1992152.46</v>
      </c>
      <c r="I20" s="65">
        <v>2120615.701</v>
      </c>
      <c r="J20" s="65">
        <v>2271699.733</v>
      </c>
    </row>
    <row r="21" spans="2:10" ht="15">
      <c r="B21" s="175" t="s">
        <v>259</v>
      </c>
      <c r="C21" s="65">
        <v>146787.372</v>
      </c>
      <c r="D21" s="65">
        <v>169449.295</v>
      </c>
      <c r="E21" s="65">
        <v>181022.533</v>
      </c>
      <c r="F21" s="65">
        <v>152307.326</v>
      </c>
      <c r="G21" s="65">
        <v>150999.937</v>
      </c>
      <c r="H21" s="65">
        <v>156175.138</v>
      </c>
      <c r="I21" s="65">
        <v>158501.662</v>
      </c>
      <c r="J21" s="65">
        <v>103038.875</v>
      </c>
    </row>
    <row r="22" spans="2:10" ht="15">
      <c r="B22" s="175" t="s">
        <v>260</v>
      </c>
      <c r="C22" s="65">
        <v>10737826.452</v>
      </c>
      <c r="D22" s="65">
        <v>13522918.959</v>
      </c>
      <c r="E22" s="65">
        <v>17604366.112</v>
      </c>
      <c r="F22" s="65">
        <v>17361734.76</v>
      </c>
      <c r="G22" s="65">
        <v>19711808.87</v>
      </c>
      <c r="H22" s="65">
        <v>19639316.838</v>
      </c>
      <c r="I22" s="65">
        <v>16398145.85</v>
      </c>
      <c r="J22" s="65">
        <v>16594330.876</v>
      </c>
    </row>
    <row r="23" spans="2:10" ht="15">
      <c r="B23" s="175" t="s">
        <v>261</v>
      </c>
      <c r="C23" s="65">
        <v>2816367.6210000003</v>
      </c>
      <c r="D23" s="65">
        <v>4360563.351</v>
      </c>
      <c r="E23" s="65">
        <v>6085313.953</v>
      </c>
      <c r="F23" s="65">
        <v>5673420.251</v>
      </c>
      <c r="G23" s="65">
        <v>5932966.146999999</v>
      </c>
      <c r="H23" s="65">
        <v>4843516.162000001</v>
      </c>
      <c r="I23" s="65">
        <v>3760559.442</v>
      </c>
      <c r="J23" s="65">
        <v>2248324.787</v>
      </c>
    </row>
    <row r="24" spans="2:10" ht="15">
      <c r="B24" s="175" t="s">
        <v>262</v>
      </c>
      <c r="C24" s="65">
        <v>1508435.155</v>
      </c>
      <c r="D24" s="65">
        <v>817651.237</v>
      </c>
      <c r="E24" s="65">
        <v>957924.349</v>
      </c>
      <c r="F24" s="65">
        <v>926994.628</v>
      </c>
      <c r="G24" s="65">
        <v>1245394.492</v>
      </c>
      <c r="H24" s="65">
        <v>1696442.281</v>
      </c>
      <c r="I24" s="65">
        <v>907961.278</v>
      </c>
      <c r="J24" s="65">
        <v>1638023.691</v>
      </c>
    </row>
    <row r="25" spans="2:10" ht="15">
      <c r="B25" s="175" t="s">
        <v>263</v>
      </c>
      <c r="C25" s="65">
        <v>2282852.194</v>
      </c>
      <c r="D25" s="65">
        <v>1536330.756</v>
      </c>
      <c r="E25" s="65">
        <v>1407310.925</v>
      </c>
      <c r="F25" s="65">
        <v>1212400.087</v>
      </c>
      <c r="G25" s="65">
        <v>1676937.8</v>
      </c>
      <c r="H25" s="65">
        <v>2117122.728</v>
      </c>
      <c r="I25" s="65">
        <v>3381066.772</v>
      </c>
      <c r="J25" s="65">
        <v>5069158.217</v>
      </c>
    </row>
    <row r="26" spans="2:10" ht="15">
      <c r="B26" s="175" t="s">
        <v>264</v>
      </c>
      <c r="C26" s="65">
        <v>0</v>
      </c>
      <c r="D26" s="65">
        <v>326256.095</v>
      </c>
      <c r="E26" s="65">
        <v>173039.462</v>
      </c>
      <c r="F26" s="65">
        <v>289079.767</v>
      </c>
      <c r="G26" s="65">
        <v>190511.579</v>
      </c>
      <c r="H26" s="65">
        <v>323264.33800000005</v>
      </c>
      <c r="I26" s="65">
        <v>196747.118</v>
      </c>
      <c r="J26" s="65">
        <v>667501.706</v>
      </c>
    </row>
    <row r="27" spans="2:10" ht="15">
      <c r="B27" s="175" t="s">
        <v>265</v>
      </c>
      <c r="C27" s="65">
        <v>4379294.24</v>
      </c>
      <c r="D27" s="65">
        <v>4547452.01</v>
      </c>
      <c r="E27" s="65">
        <v>5436297.989</v>
      </c>
      <c r="F27" s="65">
        <v>4511907.325</v>
      </c>
      <c r="G27" s="65">
        <v>8744301.635</v>
      </c>
      <c r="H27" s="65">
        <v>9900305.933</v>
      </c>
      <c r="I27" s="65">
        <v>9939224.513</v>
      </c>
      <c r="J27" s="65">
        <v>6714608.719</v>
      </c>
    </row>
    <row r="28" spans="2:10" ht="7.5" customHeight="1">
      <c r="B28" s="176"/>
      <c r="C28" s="65"/>
      <c r="D28" s="65"/>
      <c r="E28" s="65"/>
      <c r="F28" s="65"/>
      <c r="G28" s="65"/>
      <c r="H28" s="65"/>
      <c r="I28" s="65"/>
      <c r="J28" s="65"/>
    </row>
    <row r="29" spans="2:10" ht="15">
      <c r="B29" s="201" t="s">
        <v>257</v>
      </c>
      <c r="C29" s="202">
        <f aca="true" t="shared" si="2" ref="C29:J29">SUM(C9,C19)</f>
        <v>25886698.150000002</v>
      </c>
      <c r="D29" s="202">
        <f t="shared" si="2"/>
        <v>29637181.286999997</v>
      </c>
      <c r="E29" s="202">
        <f t="shared" si="2"/>
        <v>36728872.541999996</v>
      </c>
      <c r="F29" s="202">
        <f t="shared" si="2"/>
        <v>35268476.348</v>
      </c>
      <c r="G29" s="202">
        <f t="shared" si="2"/>
        <v>43449589.796</v>
      </c>
      <c r="H29" s="202">
        <f t="shared" si="2"/>
        <v>46005467.532</v>
      </c>
      <c r="I29" s="202">
        <f t="shared" si="2"/>
        <v>43665277.796000004</v>
      </c>
      <c r="J29" s="202">
        <f t="shared" si="2"/>
        <v>41738078.46</v>
      </c>
    </row>
  </sheetData>
  <sheetProtection/>
  <mergeCells count="3">
    <mergeCell ref="B2:J2"/>
    <mergeCell ref="B3:J3"/>
    <mergeCell ref="B4:J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37"/>
  <sheetViews>
    <sheetView showGridLines="0" zoomScale="80" zoomScaleNormal="80" zoomScalePageLayoutView="0" workbookViewId="0" topLeftCell="A7">
      <selection activeCell="R37" sqref="R37"/>
    </sheetView>
  </sheetViews>
  <sheetFormatPr defaultColWidth="9.140625" defaultRowHeight="12.75"/>
  <cols>
    <col min="1" max="1" width="9.140625" style="0" customWidth="1"/>
    <col min="2" max="2" width="37.28125" style="0" customWidth="1"/>
    <col min="3" max="3" width="14.28125" style="0" customWidth="1"/>
    <col min="4" max="4" width="8.57421875" style="0" customWidth="1"/>
    <col min="5" max="5" width="14.28125" style="0" customWidth="1"/>
    <col min="6" max="6" width="8.57421875" style="0" customWidth="1"/>
    <col min="7" max="7" width="13.8515625" style="0" customWidth="1"/>
    <col min="8" max="8" width="9.140625" style="0" customWidth="1"/>
    <col min="9" max="9" width="13.8515625" style="0" customWidth="1"/>
    <col min="10" max="10" width="9.140625" style="0" customWidth="1"/>
    <col min="11" max="11" width="13.8515625" style="0" customWidth="1"/>
    <col min="12" max="12" width="9.140625" style="0" customWidth="1"/>
    <col min="13" max="13" width="14.421875" style="0" customWidth="1"/>
    <col min="14" max="14" width="9.140625" style="0" customWidth="1"/>
    <col min="15" max="15" width="13.57421875" style="0" bestFit="1" customWidth="1"/>
    <col min="16" max="16" width="9.140625" style="0" customWidth="1"/>
    <col min="17" max="17" width="13.57421875" style="0" bestFit="1" customWidth="1"/>
  </cols>
  <sheetData>
    <row r="2" spans="2:18" ht="15">
      <c r="B2" s="226" t="s">
        <v>13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3.5" customHeight="1">
      <c r="B3" s="227" t="s">
        <v>102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2:18" ht="19.5" customHeight="1">
      <c r="B4" s="228" t="s">
        <v>240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2:14" ht="12.75" customHeight="1">
      <c r="B5" s="92"/>
      <c r="C5" s="93"/>
      <c r="D5" s="93"/>
      <c r="E5" s="93"/>
      <c r="F5" s="93"/>
      <c r="G5" s="93"/>
      <c r="H5" s="93"/>
      <c r="I5" s="93"/>
      <c r="J5" s="93"/>
      <c r="K5" s="62"/>
      <c r="L5" s="62"/>
      <c r="M5" s="62"/>
      <c r="N5" s="62"/>
    </row>
    <row r="6" spans="2:18" ht="15" customHeight="1">
      <c r="B6" s="229" t="s">
        <v>103</v>
      </c>
      <c r="C6" s="231" t="s">
        <v>5</v>
      </c>
      <c r="D6" s="232"/>
      <c r="E6" s="225" t="s">
        <v>6</v>
      </c>
      <c r="F6" s="225"/>
      <c r="G6" s="225" t="s">
        <v>7</v>
      </c>
      <c r="H6" s="225"/>
      <c r="I6" s="225" t="s">
        <v>8</v>
      </c>
      <c r="J6" s="225"/>
      <c r="K6" s="225" t="s">
        <v>9</v>
      </c>
      <c r="L6" s="225"/>
      <c r="M6" s="225" t="s">
        <v>14</v>
      </c>
      <c r="N6" s="225"/>
      <c r="O6" s="225" t="s">
        <v>231</v>
      </c>
      <c r="P6" s="225"/>
      <c r="Q6" s="225" t="s">
        <v>245</v>
      </c>
      <c r="R6" s="225"/>
    </row>
    <row r="7" spans="2:18" ht="17.25" customHeight="1">
      <c r="B7" s="230"/>
      <c r="C7" s="94" t="s">
        <v>104</v>
      </c>
      <c r="D7" s="94" t="s">
        <v>105</v>
      </c>
      <c r="E7" s="94" t="s">
        <v>104</v>
      </c>
      <c r="F7" s="94" t="s">
        <v>105</v>
      </c>
      <c r="G7" s="94" t="s">
        <v>104</v>
      </c>
      <c r="H7" s="94" t="s">
        <v>105</v>
      </c>
      <c r="I7" s="94" t="s">
        <v>104</v>
      </c>
      <c r="J7" s="94" t="s">
        <v>105</v>
      </c>
      <c r="K7" s="94" t="s">
        <v>104</v>
      </c>
      <c r="L7" s="94" t="s">
        <v>105</v>
      </c>
      <c r="M7" s="94" t="s">
        <v>104</v>
      </c>
      <c r="N7" s="94" t="s">
        <v>105</v>
      </c>
      <c r="O7" s="161" t="s">
        <v>104</v>
      </c>
      <c r="P7" s="161" t="s">
        <v>105</v>
      </c>
      <c r="Q7" s="191" t="s">
        <v>104</v>
      </c>
      <c r="R7" s="191" t="s">
        <v>105</v>
      </c>
    </row>
    <row r="8" spans="2:18" ht="10.5" customHeight="1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87"/>
      <c r="N8" s="87"/>
      <c r="O8" s="87"/>
      <c r="P8" s="87"/>
      <c r="Q8" s="87"/>
      <c r="R8" s="87"/>
    </row>
    <row r="9" spans="2:18" ht="16.5" customHeight="1">
      <c r="B9" s="95" t="s">
        <v>106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7"/>
      <c r="N9" s="87"/>
      <c r="O9" s="87"/>
      <c r="P9" s="87"/>
      <c r="Q9" s="87"/>
      <c r="R9" s="87"/>
    </row>
    <row r="10" spans="2:18" ht="16.5" customHeight="1">
      <c r="B10" s="95" t="s">
        <v>107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87"/>
      <c r="N10" s="87"/>
      <c r="O10" s="87"/>
      <c r="P10" s="87"/>
      <c r="Q10" s="87"/>
      <c r="R10" s="87"/>
    </row>
    <row r="11" spans="2:18" ht="16.5" customHeight="1">
      <c r="B11" s="98" t="s">
        <v>108</v>
      </c>
      <c r="C11" s="99">
        <v>32159364.6</v>
      </c>
      <c r="D11" s="99">
        <f>C11/C36*100</f>
        <v>10.297156991477644</v>
      </c>
      <c r="E11" s="99">
        <v>43390621.6</v>
      </c>
      <c r="F11" s="99">
        <f>E11/E36*100</f>
        <v>11.934298596912644</v>
      </c>
      <c r="G11" s="99">
        <v>43590470.7</v>
      </c>
      <c r="H11" s="99">
        <f aca="true" t="shared" si="0" ref="H11:H23">G11/$G$36*100</f>
        <v>10.609724787518935</v>
      </c>
      <c r="I11" s="99">
        <v>45088618.3</v>
      </c>
      <c r="J11" s="99">
        <f aca="true" t="shared" si="1" ref="J11:J23">I11/$I$36*100</f>
        <v>9.766712034047984</v>
      </c>
      <c r="K11" s="99">
        <v>47170658.9</v>
      </c>
      <c r="L11" s="99">
        <f aca="true" t="shared" si="2" ref="L11:L23">K11/$K$36*100</f>
        <v>9.065852237447054</v>
      </c>
      <c r="M11" s="99">
        <v>64762133.9</v>
      </c>
      <c r="N11" s="99">
        <f aca="true" t="shared" si="3" ref="N11:N23">M11/$M$36*100</f>
        <v>9.32753626276024</v>
      </c>
      <c r="O11" s="99">
        <v>96869589.2</v>
      </c>
      <c r="P11" s="99">
        <f aca="true" t="shared" si="4" ref="P11:P23">O11/$O$36*100</f>
        <v>12.557143504250806</v>
      </c>
      <c r="Q11" s="99">
        <v>93908007.198</v>
      </c>
      <c r="R11" s="99">
        <f>Q11/$Q$36*100</f>
        <v>11.41507362323598</v>
      </c>
    </row>
    <row r="12" spans="2:18" ht="16.5" customHeight="1">
      <c r="B12" s="100" t="s">
        <v>109</v>
      </c>
      <c r="C12" s="97">
        <v>260100</v>
      </c>
      <c r="D12" s="97">
        <f>C12/C36*100</f>
        <v>0.083281823717479</v>
      </c>
      <c r="E12" s="97">
        <v>14125.4</v>
      </c>
      <c r="F12" s="97">
        <f>E12/E36*100</f>
        <v>0.0038850962531689075</v>
      </c>
      <c r="G12" s="97">
        <v>2291.7</v>
      </c>
      <c r="H12" s="99">
        <f t="shared" si="0"/>
        <v>0.0005577894871311206</v>
      </c>
      <c r="I12" s="97"/>
      <c r="J12" s="99">
        <f t="shared" si="1"/>
        <v>0</v>
      </c>
      <c r="K12" s="97"/>
      <c r="L12" s="99">
        <f t="shared" si="2"/>
        <v>0</v>
      </c>
      <c r="M12" s="99">
        <v>50038.6</v>
      </c>
      <c r="N12" s="99">
        <f t="shared" si="3"/>
        <v>0.00720694066008462</v>
      </c>
      <c r="O12" s="99"/>
      <c r="P12" s="99">
        <f t="shared" si="4"/>
        <v>0</v>
      </c>
      <c r="Q12" s="99">
        <v>0</v>
      </c>
      <c r="R12" s="99">
        <f aca="true" t="shared" si="5" ref="R12:R22">Q12/$Q$36*100</f>
        <v>0</v>
      </c>
    </row>
    <row r="13" spans="2:18" ht="16.5" customHeight="1">
      <c r="B13" s="100" t="s">
        <v>110</v>
      </c>
      <c r="C13" s="97">
        <v>33704804</v>
      </c>
      <c r="D13" s="97">
        <f>C13/C36*100</f>
        <v>10.791993637678512</v>
      </c>
      <c r="E13" s="97">
        <v>32085733.6</v>
      </c>
      <c r="F13" s="97">
        <f>E13/E36*100</f>
        <v>8.824965196704923</v>
      </c>
      <c r="G13" s="97">
        <v>46259812.4</v>
      </c>
      <c r="H13" s="99">
        <f t="shared" si="0"/>
        <v>11.259430568302072</v>
      </c>
      <c r="I13" s="97">
        <v>60679664.9</v>
      </c>
      <c r="J13" s="99">
        <f t="shared" si="1"/>
        <v>13.143911606642183</v>
      </c>
      <c r="K13" s="97">
        <v>70387245.9</v>
      </c>
      <c r="L13" s="99">
        <f t="shared" si="2"/>
        <v>13.527908780817368</v>
      </c>
      <c r="M13" s="99">
        <v>60446446.7</v>
      </c>
      <c r="N13" s="99">
        <f t="shared" si="3"/>
        <v>8.705958089951913</v>
      </c>
      <c r="O13" s="99">
        <v>90001607.1</v>
      </c>
      <c r="P13" s="99">
        <f t="shared" si="4"/>
        <v>11.666851333853886</v>
      </c>
      <c r="Q13" s="99">
        <v>80600727.101</v>
      </c>
      <c r="R13" s="99">
        <f t="shared" si="5"/>
        <v>9.797495031540414</v>
      </c>
    </row>
    <row r="14" spans="2:18" ht="16.5" customHeight="1">
      <c r="B14" s="100" t="s">
        <v>111</v>
      </c>
      <c r="C14" s="97">
        <v>5824136</v>
      </c>
      <c r="D14" s="97">
        <f>C14/C36*100</f>
        <v>1.8648391682376906</v>
      </c>
      <c r="E14" s="97">
        <v>7137448.3</v>
      </c>
      <c r="F14" s="97">
        <f>E14/E36*100</f>
        <v>1.9631071436926946</v>
      </c>
      <c r="G14" s="97">
        <v>7848785.3</v>
      </c>
      <c r="H14" s="99">
        <f t="shared" si="0"/>
        <v>1.910359090234009</v>
      </c>
      <c r="I14" s="97">
        <v>8803412.7</v>
      </c>
      <c r="J14" s="99">
        <f t="shared" si="1"/>
        <v>1.906920194043313</v>
      </c>
      <c r="K14" s="97">
        <v>9618906</v>
      </c>
      <c r="L14" s="99">
        <f t="shared" si="2"/>
        <v>1.84868268782849</v>
      </c>
      <c r="M14" s="99">
        <v>10289972.9</v>
      </c>
      <c r="N14" s="99">
        <f t="shared" si="3"/>
        <v>1.4820403465360514</v>
      </c>
      <c r="O14" s="99">
        <v>12155645.5</v>
      </c>
      <c r="P14" s="99">
        <f t="shared" si="4"/>
        <v>1.5757286284672354</v>
      </c>
      <c r="Q14" s="99">
        <v>12406947.283</v>
      </c>
      <c r="R14" s="99">
        <f t="shared" si="5"/>
        <v>1.508137813812206</v>
      </c>
    </row>
    <row r="15" spans="2:18" ht="16.5" customHeight="1">
      <c r="B15" s="100" t="s">
        <v>112</v>
      </c>
      <c r="C15" s="97">
        <v>6101231.6</v>
      </c>
      <c r="D15" s="97">
        <f>C15/C36*100</f>
        <v>1.9535628395644458</v>
      </c>
      <c r="E15" s="97">
        <v>5873148.9</v>
      </c>
      <c r="F15" s="97">
        <f>E15/E36*100</f>
        <v>1.6153700982409769</v>
      </c>
      <c r="G15" s="97">
        <v>8122442.6</v>
      </c>
      <c r="H15" s="99">
        <f t="shared" si="0"/>
        <v>1.9769660479582694</v>
      </c>
      <c r="I15" s="97">
        <v>8514447.9</v>
      </c>
      <c r="J15" s="99">
        <f t="shared" si="1"/>
        <v>1.8443271030153658</v>
      </c>
      <c r="K15" s="97">
        <v>4558323.9</v>
      </c>
      <c r="L15" s="99">
        <f t="shared" si="2"/>
        <v>0.8760761857372186</v>
      </c>
      <c r="M15" s="99">
        <v>7983719.5</v>
      </c>
      <c r="N15" s="99">
        <f t="shared" si="3"/>
        <v>1.1498761492779666</v>
      </c>
      <c r="O15" s="99">
        <v>8189897.4</v>
      </c>
      <c r="P15" s="99">
        <f t="shared" si="4"/>
        <v>1.0616512136183454</v>
      </c>
      <c r="Q15" s="99">
        <v>9977770.545</v>
      </c>
      <c r="R15" s="99">
        <f t="shared" si="5"/>
        <v>1.212857015768471</v>
      </c>
    </row>
    <row r="16" spans="2:18" ht="16.5" customHeight="1">
      <c r="B16" s="100" t="s">
        <v>113</v>
      </c>
      <c r="C16" s="97">
        <v>42794.3</v>
      </c>
      <c r="D16" s="97">
        <f>C16/C36*100</f>
        <v>0.013702373505239954</v>
      </c>
      <c r="E16" s="97">
        <v>58336.9</v>
      </c>
      <c r="F16" s="97">
        <f>E16/E36*100</f>
        <v>0.01604517193222771</v>
      </c>
      <c r="G16" s="97">
        <v>71428</v>
      </c>
      <c r="H16" s="99">
        <f t="shared" si="0"/>
        <v>0.017385254390540512</v>
      </c>
      <c r="I16" s="97">
        <v>76511.7</v>
      </c>
      <c r="J16" s="99">
        <f t="shared" si="1"/>
        <v>0.01657331205324314</v>
      </c>
      <c r="K16" s="97">
        <v>43654.5</v>
      </c>
      <c r="L16" s="99">
        <f t="shared" si="2"/>
        <v>0.008390072467264866</v>
      </c>
      <c r="M16" s="99">
        <v>58592.5</v>
      </c>
      <c r="N16" s="99">
        <f t="shared" si="3"/>
        <v>0.008438938551958052</v>
      </c>
      <c r="O16" s="99">
        <v>55054</v>
      </c>
      <c r="P16" s="99">
        <f t="shared" si="4"/>
        <v>0.007136615156441933</v>
      </c>
      <c r="Q16" s="99">
        <v>53224.107</v>
      </c>
      <c r="R16" s="99">
        <f t="shared" si="5"/>
        <v>0.0064697049598229465</v>
      </c>
    </row>
    <row r="17" spans="2:18" ht="16.5" customHeight="1">
      <c r="B17" s="100" t="s">
        <v>114</v>
      </c>
      <c r="C17" s="97">
        <v>5225194.8</v>
      </c>
      <c r="D17" s="97">
        <f>C17/C36*100</f>
        <v>1.6730632534528567</v>
      </c>
      <c r="E17" s="97">
        <v>5279780</v>
      </c>
      <c r="F17" s="97">
        <f>E17/E36*100</f>
        <v>1.4521679736896749</v>
      </c>
      <c r="G17" s="97">
        <v>5028238.6</v>
      </c>
      <c r="H17" s="99">
        <f t="shared" si="0"/>
        <v>1.2238506915682263</v>
      </c>
      <c r="I17" s="97">
        <v>4755383.7</v>
      </c>
      <c r="J17" s="99">
        <f t="shared" si="1"/>
        <v>1.0300706688389614</v>
      </c>
      <c r="K17" s="97">
        <v>7644039.6</v>
      </c>
      <c r="L17" s="99">
        <f t="shared" si="2"/>
        <v>1.469127952138779</v>
      </c>
      <c r="M17" s="99">
        <v>13516765.9</v>
      </c>
      <c r="N17" s="99">
        <f t="shared" si="3"/>
        <v>1.946787675065955</v>
      </c>
      <c r="O17" s="99">
        <v>14551064.4</v>
      </c>
      <c r="P17" s="99">
        <f t="shared" si="4"/>
        <v>1.8862452635485643</v>
      </c>
      <c r="Q17" s="99">
        <v>19569496.562</v>
      </c>
      <c r="R17" s="99">
        <f t="shared" si="5"/>
        <v>2.378788036188366</v>
      </c>
    </row>
    <row r="18" spans="2:18" ht="16.5" customHeight="1">
      <c r="B18" s="100" t="s">
        <v>115</v>
      </c>
      <c r="C18" s="97">
        <v>5813545</v>
      </c>
      <c r="D18" s="97">
        <f>C18/C36*100</f>
        <v>1.861448019468018</v>
      </c>
      <c r="E18" s="97">
        <v>6288281</v>
      </c>
      <c r="F18" s="97">
        <f>E18/E36*100</f>
        <v>1.7295493898914887</v>
      </c>
      <c r="G18" s="97">
        <v>7095103.5</v>
      </c>
      <c r="H18" s="99">
        <f t="shared" si="0"/>
        <v>1.7269163251766022</v>
      </c>
      <c r="I18" s="97">
        <v>7486805.6</v>
      </c>
      <c r="J18" s="99">
        <f t="shared" si="1"/>
        <v>1.621727990500384</v>
      </c>
      <c r="K18" s="97">
        <v>8460929.4</v>
      </c>
      <c r="L18" s="99">
        <f t="shared" si="2"/>
        <v>1.6261281381395238</v>
      </c>
      <c r="M18" s="99">
        <v>8251439.6</v>
      </c>
      <c r="N18" s="99">
        <f t="shared" si="3"/>
        <v>1.1884352391448276</v>
      </c>
      <c r="O18" s="99">
        <v>9065541.5</v>
      </c>
      <c r="P18" s="99">
        <f t="shared" si="4"/>
        <v>1.175160403789976</v>
      </c>
      <c r="Q18" s="99">
        <v>9309574.483</v>
      </c>
      <c r="R18" s="99">
        <f t="shared" si="5"/>
        <v>1.131633832889037</v>
      </c>
    </row>
    <row r="19" spans="2:18" ht="16.5" customHeight="1">
      <c r="B19" s="100" t="s">
        <v>116</v>
      </c>
      <c r="C19" s="97">
        <v>22607.2</v>
      </c>
      <c r="D19" s="97">
        <f>C19/C36*100</f>
        <v>0.007238634544966518</v>
      </c>
      <c r="E19" s="97">
        <v>324.1</v>
      </c>
      <c r="F19" s="97">
        <f>E19/E36*100</f>
        <v>8.914152488793542E-05</v>
      </c>
      <c r="G19" s="97">
        <v>407.7</v>
      </c>
      <c r="H19" s="99">
        <f t="shared" si="0"/>
        <v>9.923234886911808E-05</v>
      </c>
      <c r="I19" s="97">
        <v>4450.3</v>
      </c>
      <c r="J19" s="99">
        <f t="shared" si="1"/>
        <v>0.0009639860391358178</v>
      </c>
      <c r="K19" s="97">
        <v>20220.7</v>
      </c>
      <c r="L19" s="99">
        <f t="shared" si="2"/>
        <v>0.003886269189632745</v>
      </c>
      <c r="M19" s="99">
        <v>99136.7</v>
      </c>
      <c r="N19" s="99">
        <f t="shared" si="3"/>
        <v>0.014278423339913806</v>
      </c>
      <c r="O19" s="99">
        <v>67438.7</v>
      </c>
      <c r="P19" s="99">
        <f t="shared" si="4"/>
        <v>0.008742035974692858</v>
      </c>
      <c r="Q19" s="99">
        <v>100501.809</v>
      </c>
      <c r="R19" s="99">
        <f t="shared" si="5"/>
        <v>0.012216589226353358</v>
      </c>
    </row>
    <row r="20" spans="2:18" ht="16.5" customHeight="1">
      <c r="B20" s="100" t="s">
        <v>117</v>
      </c>
      <c r="C20" s="97">
        <v>81679</v>
      </c>
      <c r="D20" s="97">
        <f>C20/C36*100</f>
        <v>0.026152926103114066</v>
      </c>
      <c r="E20" s="97">
        <v>104663.2</v>
      </c>
      <c r="F20" s="97">
        <f>E20/E36*100</f>
        <v>0.02878690912573576</v>
      </c>
      <c r="G20" s="97">
        <v>123130.5</v>
      </c>
      <c r="H20" s="99">
        <f t="shared" si="0"/>
        <v>0.02996941067556768</v>
      </c>
      <c r="I20" s="97">
        <v>132642.9</v>
      </c>
      <c r="J20" s="99">
        <f t="shared" si="1"/>
        <v>0.02873197397714499</v>
      </c>
      <c r="K20" s="97">
        <v>317996.8</v>
      </c>
      <c r="L20" s="99">
        <f t="shared" si="2"/>
        <v>0.061116636231278144</v>
      </c>
      <c r="M20" s="99">
        <v>322285.6</v>
      </c>
      <c r="N20" s="99">
        <f t="shared" si="3"/>
        <v>0.04641802917747035</v>
      </c>
      <c r="O20" s="99">
        <v>345066.2</v>
      </c>
      <c r="P20" s="99">
        <f t="shared" si="4"/>
        <v>0.04473071298898942</v>
      </c>
      <c r="Q20" s="99">
        <v>258849.265</v>
      </c>
      <c r="R20" s="99">
        <f t="shared" si="5"/>
        <v>0.03146465893015404</v>
      </c>
    </row>
    <row r="21" spans="2:18" ht="16.5" customHeight="1">
      <c r="B21" s="100" t="s">
        <v>118</v>
      </c>
      <c r="C21" s="97">
        <v>4960647.8</v>
      </c>
      <c r="D21" s="97">
        <f>C21/C36*100</f>
        <v>1.5883575378858132</v>
      </c>
      <c r="E21" s="97">
        <v>6087360.7</v>
      </c>
      <c r="F21" s="97">
        <f>E21/E36*100</f>
        <v>1.6742876129</v>
      </c>
      <c r="G21" s="97">
        <v>4375771.6</v>
      </c>
      <c r="H21" s="99">
        <f t="shared" si="0"/>
        <v>1.0650431542378684</v>
      </c>
      <c r="I21" s="97">
        <v>1342470.1</v>
      </c>
      <c r="J21" s="99">
        <f t="shared" si="1"/>
        <v>0.29079442607403216</v>
      </c>
      <c r="K21" s="97">
        <v>1396399.4</v>
      </c>
      <c r="L21" s="99">
        <f t="shared" si="2"/>
        <v>0.26837765085489873</v>
      </c>
      <c r="M21" s="99">
        <v>1353636.2</v>
      </c>
      <c r="N21" s="99">
        <f t="shared" si="3"/>
        <v>0.19496100547861925</v>
      </c>
      <c r="O21" s="99">
        <v>3266259.4</v>
      </c>
      <c r="P21" s="99">
        <f t="shared" si="4"/>
        <v>0.4234031376268924</v>
      </c>
      <c r="Q21" s="99">
        <v>2665602.329</v>
      </c>
      <c r="R21" s="99">
        <f t="shared" si="5"/>
        <v>0.3240197267912244</v>
      </c>
    </row>
    <row r="22" spans="2:18" ht="16.5" customHeight="1">
      <c r="B22" s="100" t="s">
        <v>119</v>
      </c>
      <c r="C22" s="97">
        <v>6375828.3</v>
      </c>
      <c r="D22" s="97">
        <f>C22/C36*100</f>
        <v>2.041486384211895</v>
      </c>
      <c r="E22" s="97">
        <v>7318559.6</v>
      </c>
      <c r="F22" s="97">
        <f>E22/E36*100</f>
        <v>2.012920588482686</v>
      </c>
      <c r="G22" s="97">
        <v>7475928.8</v>
      </c>
      <c r="H22" s="99">
        <f t="shared" si="0"/>
        <v>1.8196074927698975</v>
      </c>
      <c r="I22" s="97">
        <v>11776054.8</v>
      </c>
      <c r="J22" s="99">
        <f t="shared" si="1"/>
        <v>2.5508285785898335</v>
      </c>
      <c r="K22" s="97">
        <v>12475654.6</v>
      </c>
      <c r="L22" s="99">
        <f t="shared" si="2"/>
        <v>2.3977286687641883</v>
      </c>
      <c r="M22" s="99">
        <v>12747905.9</v>
      </c>
      <c r="N22" s="99">
        <f t="shared" si="3"/>
        <v>1.8360505961726072</v>
      </c>
      <c r="O22" s="99">
        <v>12149500.6</v>
      </c>
      <c r="P22" s="99">
        <f t="shared" si="4"/>
        <v>1.5749320689715616</v>
      </c>
      <c r="Q22" s="99">
        <v>13416838.893</v>
      </c>
      <c r="R22" s="99">
        <f t="shared" si="5"/>
        <v>1.63089611125251</v>
      </c>
    </row>
    <row r="23" spans="2:18" ht="15" customHeight="1">
      <c r="B23" s="101" t="s">
        <v>120</v>
      </c>
      <c r="C23" s="102">
        <f>SUM(C10:C22)</f>
        <v>100571932.59999998</v>
      </c>
      <c r="D23" s="102">
        <f>C23/C36*100</f>
        <v>32.20228358984767</v>
      </c>
      <c r="E23" s="102">
        <f>SUM(E10:E22)</f>
        <v>113638383.3</v>
      </c>
      <c r="F23" s="102">
        <f>E23/E36*100</f>
        <v>31.255472919351106</v>
      </c>
      <c r="G23" s="102">
        <f>SUM(G11:G22)</f>
        <v>129993811.39999999</v>
      </c>
      <c r="H23" s="102">
        <f t="shared" si="0"/>
        <v>31.639909844667987</v>
      </c>
      <c r="I23" s="102">
        <f>SUM(I11:I22)</f>
        <v>148660462.90000004</v>
      </c>
      <c r="J23" s="102">
        <f t="shared" si="1"/>
        <v>32.20156187382159</v>
      </c>
      <c r="K23" s="102">
        <f>SUM(K11:K22)</f>
        <v>162094029.70000002</v>
      </c>
      <c r="L23" s="103">
        <f t="shared" si="2"/>
        <v>31.1532752796157</v>
      </c>
      <c r="M23" s="102">
        <f>SUM(M11:M22)</f>
        <v>179882073.99999997</v>
      </c>
      <c r="N23" s="103">
        <f t="shared" si="3"/>
        <v>25.90798769611761</v>
      </c>
      <c r="O23" s="102">
        <f>SUM(O11:O22)</f>
        <v>246716664</v>
      </c>
      <c r="P23" s="103">
        <f t="shared" si="4"/>
        <v>31.98172491824739</v>
      </c>
      <c r="Q23" s="102">
        <f>SUM(Q11:Q22)</f>
        <v>242267539.57499996</v>
      </c>
      <c r="R23" s="103">
        <f>Q23/$Q$36*100</f>
        <v>29.449052144594535</v>
      </c>
    </row>
    <row r="24" spans="2:18" ht="13.5" customHeight="1">
      <c r="B24" s="104"/>
      <c r="C24" s="97"/>
      <c r="D24" s="96"/>
      <c r="E24" s="96"/>
      <c r="F24" s="96"/>
      <c r="G24" s="96"/>
      <c r="H24" s="99"/>
      <c r="I24" s="96"/>
      <c r="J24" s="99"/>
      <c r="K24" s="96"/>
      <c r="L24" s="99"/>
      <c r="M24" s="87"/>
      <c r="N24" s="87"/>
      <c r="O24" s="87"/>
      <c r="P24" s="99"/>
      <c r="Q24" s="87"/>
      <c r="R24" s="99"/>
    </row>
    <row r="25" spans="2:18" ht="15.75" customHeight="1">
      <c r="B25" s="95" t="s">
        <v>121</v>
      </c>
      <c r="C25" s="97"/>
      <c r="D25" s="97"/>
      <c r="E25" s="97"/>
      <c r="F25" s="97"/>
      <c r="G25" s="97"/>
      <c r="H25" s="99"/>
      <c r="I25" s="97"/>
      <c r="J25" s="99"/>
      <c r="K25" s="97"/>
      <c r="L25" s="99"/>
      <c r="M25" s="87"/>
      <c r="N25" s="87"/>
      <c r="O25" s="87"/>
      <c r="P25" s="99"/>
      <c r="Q25" s="87"/>
      <c r="R25" s="99"/>
    </row>
    <row r="26" spans="2:18" ht="15.75" customHeight="1">
      <c r="B26" s="105" t="s">
        <v>111</v>
      </c>
      <c r="C26" s="97">
        <v>4455186.7</v>
      </c>
      <c r="D26" s="97">
        <f>C26/C36*100</f>
        <v>1.4265131617756903</v>
      </c>
      <c r="E26" s="97">
        <v>5612714.7</v>
      </c>
      <c r="F26" s="97">
        <f>E26/E36*100</f>
        <v>1.5437394233845447</v>
      </c>
      <c r="G26" s="97">
        <v>6720524.7</v>
      </c>
      <c r="H26" s="99">
        <f aca="true" t="shared" si="6" ref="H26:H36">G26/$G$36*100</f>
        <v>1.6357455276279742</v>
      </c>
      <c r="I26" s="97">
        <v>8186115.8</v>
      </c>
      <c r="J26" s="99">
        <f aca="true" t="shared" si="7" ref="J26:J36">I26/$I$36*100</f>
        <v>1.7732066031389202</v>
      </c>
      <c r="K26" s="97">
        <v>10734443</v>
      </c>
      <c r="L26" s="99">
        <f aca="true" t="shared" si="8" ref="L26:L36">K26/$K$36*100</f>
        <v>2.0630806598569236</v>
      </c>
      <c r="M26" s="97">
        <v>11950460.3</v>
      </c>
      <c r="N26" s="99">
        <f aca="true" t="shared" si="9" ref="N26:N36">M26/$M$36*100</f>
        <v>1.7211964012341885</v>
      </c>
      <c r="O26" s="97">
        <v>14713037.3</v>
      </c>
      <c r="P26" s="99">
        <f aca="true" t="shared" si="10" ref="P26:P36">O26/$O$36*100</f>
        <v>1.907241708004423</v>
      </c>
      <c r="Q26" s="97">
        <v>15740584.368</v>
      </c>
      <c r="R26" s="99">
        <f>Q26/$Q$36*100</f>
        <v>1.913361115784641</v>
      </c>
    </row>
    <row r="27" spans="2:18" ht="15.75" customHeight="1">
      <c r="B27" s="105" t="s">
        <v>122</v>
      </c>
      <c r="C27" s="97">
        <v>4029807</v>
      </c>
      <c r="D27" s="97">
        <f>C27/C36*100</f>
        <v>1.290310173738804</v>
      </c>
      <c r="E27" s="97">
        <v>3352440.1</v>
      </c>
      <c r="F27" s="97">
        <f>E27/E36*100</f>
        <v>0.9220660987641552</v>
      </c>
      <c r="G27" s="97">
        <v>2787882.3</v>
      </c>
      <c r="H27" s="99">
        <f t="shared" si="6"/>
        <v>0.6785580304136358</v>
      </c>
      <c r="I27" s="97">
        <f>2437778.1+6267.5</f>
        <v>2444045.6</v>
      </c>
      <c r="J27" s="99">
        <f t="shared" si="7"/>
        <v>0.5294083179586373</v>
      </c>
      <c r="K27" s="97">
        <v>4376043.7</v>
      </c>
      <c r="L27" s="99">
        <f t="shared" si="8"/>
        <v>0.8410432776212732</v>
      </c>
      <c r="M27" s="97">
        <v>3343130.4</v>
      </c>
      <c r="N27" s="99">
        <f t="shared" si="9"/>
        <v>0.4815031278198223</v>
      </c>
      <c r="O27" s="97">
        <v>3478073.2</v>
      </c>
      <c r="P27" s="99">
        <f t="shared" si="10"/>
        <v>0.4508604263874468</v>
      </c>
      <c r="Q27" s="97">
        <v>3114371.967</v>
      </c>
      <c r="R27" s="99">
        <f aca="true" t="shared" si="11" ref="R27:R34">Q27/$Q$36*100</f>
        <v>0.37857033020081376</v>
      </c>
    </row>
    <row r="28" spans="2:18" ht="15.75" customHeight="1">
      <c r="B28" s="105" t="s">
        <v>114</v>
      </c>
      <c r="C28" s="97">
        <f>2133764.3+9.7</f>
        <v>2133774</v>
      </c>
      <c r="D28" s="97">
        <f>C28/C36*100</f>
        <v>0.6832164172277587</v>
      </c>
      <c r="E28" s="97">
        <f>2018972.2+1113.3</f>
        <v>2020085.5</v>
      </c>
      <c r="F28" s="97">
        <f>E28/E36*100</f>
        <v>0.555610928336956</v>
      </c>
      <c r="G28" s="97">
        <f>6877385.2+912.9</f>
        <v>6878298.100000001</v>
      </c>
      <c r="H28" s="99">
        <f t="shared" si="6"/>
        <v>1.674146864569517</v>
      </c>
      <c r="I28" s="97">
        <v>2170881.7</v>
      </c>
      <c r="J28" s="99">
        <f t="shared" si="7"/>
        <v>0.47023788315741205</v>
      </c>
      <c r="K28" s="97">
        <v>68477.4</v>
      </c>
      <c r="L28" s="99">
        <f t="shared" si="8"/>
        <v>0.013160850504985352</v>
      </c>
      <c r="M28" s="97">
        <v>8475716.9</v>
      </c>
      <c r="N28" s="99">
        <f t="shared" si="9"/>
        <v>1.2207373657531662</v>
      </c>
      <c r="O28" s="97">
        <v>24698840.3</v>
      </c>
      <c r="P28" s="99">
        <f t="shared" si="10"/>
        <v>3.2016950272735647</v>
      </c>
      <c r="Q28" s="97">
        <v>18237860.16</v>
      </c>
      <c r="R28" s="99">
        <f t="shared" si="11"/>
        <v>2.2169197565627417</v>
      </c>
    </row>
    <row r="29" spans="2:18" ht="15.75" customHeight="1">
      <c r="B29" s="105" t="s">
        <v>123</v>
      </c>
      <c r="C29" s="97">
        <v>3479</v>
      </c>
      <c r="D29" s="97">
        <f>C29/C36*100</f>
        <v>0.0011139464233491329</v>
      </c>
      <c r="E29" s="97">
        <v>3049.6</v>
      </c>
      <c r="F29" s="97">
        <f>E29/E36*100</f>
        <v>0.0008387719663629985</v>
      </c>
      <c r="G29" s="97">
        <v>4088.7</v>
      </c>
      <c r="H29" s="99">
        <f t="shared" si="6"/>
        <v>0.000995171216142171</v>
      </c>
      <c r="I29" s="97">
        <v>11176</v>
      </c>
      <c r="J29" s="99">
        <f t="shared" si="7"/>
        <v>0.002420849824367323</v>
      </c>
      <c r="K29" s="97">
        <v>6085</v>
      </c>
      <c r="L29" s="99">
        <f t="shared" si="8"/>
        <v>0.0011694920561066261</v>
      </c>
      <c r="M29" s="97">
        <v>7959.8</v>
      </c>
      <c r="N29" s="99">
        <f t="shared" si="9"/>
        <v>0.0011464310805286632</v>
      </c>
      <c r="O29" s="97">
        <v>10798.8</v>
      </c>
      <c r="P29" s="99">
        <f t="shared" si="10"/>
        <v>0.0013998416055397455</v>
      </c>
      <c r="Q29" s="97">
        <v>11597.958</v>
      </c>
      <c r="R29" s="99">
        <f t="shared" si="11"/>
        <v>0.0014098003823045488</v>
      </c>
    </row>
    <row r="30" spans="2:18" ht="15.75" customHeight="1">
      <c r="B30" s="105" t="s">
        <v>124</v>
      </c>
      <c r="C30" s="97">
        <v>4295.8</v>
      </c>
      <c r="D30" s="97">
        <f>C30/C36*100</f>
        <v>0.0013754788862958337</v>
      </c>
      <c r="E30" s="97">
        <v>4009.5</v>
      </c>
      <c r="F30" s="97">
        <f>E30/E36*100</f>
        <v>0.0011027860044374484</v>
      </c>
      <c r="G30" s="97">
        <v>5382.4</v>
      </c>
      <c r="H30" s="99">
        <f t="shared" si="6"/>
        <v>0.0013100519856589186</v>
      </c>
      <c r="I30" s="97">
        <v>9763.7</v>
      </c>
      <c r="J30" s="99">
        <f t="shared" si="7"/>
        <v>0.0021149294407816067</v>
      </c>
      <c r="K30" s="97">
        <v>10475.2</v>
      </c>
      <c r="L30" s="99">
        <f t="shared" si="8"/>
        <v>0.0020132560700292733</v>
      </c>
      <c r="M30" s="97">
        <v>12544.5</v>
      </c>
      <c r="N30" s="99">
        <f t="shared" si="9"/>
        <v>0.0018067545277132358</v>
      </c>
      <c r="O30" s="97">
        <v>2323.7</v>
      </c>
      <c r="P30" s="99">
        <f t="shared" si="10"/>
        <v>0.00030121975949112</v>
      </c>
      <c r="Q30" s="97">
        <v>0</v>
      </c>
      <c r="R30" s="99">
        <f t="shared" si="11"/>
        <v>0</v>
      </c>
    </row>
    <row r="31" spans="2:18" ht="15.75" customHeight="1">
      <c r="B31" s="105" t="s">
        <v>125</v>
      </c>
      <c r="C31" s="97">
        <f>377869.1+56372032.6</f>
        <v>56749901.7</v>
      </c>
      <c r="D31" s="97">
        <f>C31/C36*100</f>
        <v>18.170839328580016</v>
      </c>
      <c r="E31" s="97">
        <f>62819.5+71006516.7</f>
        <v>71069336.2</v>
      </c>
      <c r="F31" s="97">
        <f>E31/E36*100</f>
        <v>19.54714286220719</v>
      </c>
      <c r="G31" s="97">
        <f>258892.1+64127231.6</f>
        <v>64386123.7</v>
      </c>
      <c r="H31" s="99">
        <f t="shared" si="6"/>
        <v>15.671293326780948</v>
      </c>
      <c r="I31" s="97">
        <f>381435.9+85103990.1</f>
        <v>85485426</v>
      </c>
      <c r="J31" s="99">
        <f t="shared" si="7"/>
        <v>18.517124062103242</v>
      </c>
      <c r="K31" s="97">
        <f>99143675.7+467723.4</f>
        <v>99611399.10000001</v>
      </c>
      <c r="L31" s="99">
        <f t="shared" si="8"/>
        <v>19.144575175861416</v>
      </c>
      <c r="M31" s="97">
        <v>103534384.7</v>
      </c>
      <c r="N31" s="99">
        <f t="shared" si="9"/>
        <v>14.911811417810911</v>
      </c>
      <c r="O31" s="97">
        <v>77832663.9</v>
      </c>
      <c r="P31" s="99">
        <f t="shared" si="10"/>
        <v>10.089398932956568</v>
      </c>
      <c r="Q31" s="97">
        <v>90761451.471</v>
      </c>
      <c r="R31" s="99">
        <f t="shared" si="11"/>
        <v>11.03259116668051</v>
      </c>
    </row>
    <row r="32" spans="2:18" ht="15.75" customHeight="1">
      <c r="B32" s="105" t="s">
        <v>126</v>
      </c>
      <c r="C32" s="97">
        <v>129481667.1</v>
      </c>
      <c r="D32" s="97">
        <f>C32/C36*100</f>
        <v>41.4589364631584</v>
      </c>
      <c r="E32" s="97">
        <v>150324395.8</v>
      </c>
      <c r="F32" s="97">
        <f>E32/E36*100</f>
        <v>41.34571388296685</v>
      </c>
      <c r="G32" s="97">
        <v>180775801</v>
      </c>
      <c r="H32" s="99">
        <f t="shared" si="6"/>
        <v>44.00001803268645</v>
      </c>
      <c r="I32" s="97">
        <v>193025793.4</v>
      </c>
      <c r="J32" s="99">
        <f t="shared" si="7"/>
        <v>41.811601471971485</v>
      </c>
      <c r="K32" s="97">
        <v>216400655.1</v>
      </c>
      <c r="L32" s="99">
        <f t="shared" si="8"/>
        <v>41.5906075720164</v>
      </c>
      <c r="M32" s="97">
        <v>357865875.9</v>
      </c>
      <c r="N32" s="99">
        <f t="shared" si="9"/>
        <v>51.542571772201995</v>
      </c>
      <c r="O32" s="97">
        <v>368921911.9</v>
      </c>
      <c r="P32" s="99">
        <f t="shared" si="10"/>
        <v>47.82311381569142</v>
      </c>
      <c r="Q32" s="97">
        <v>414324827.35</v>
      </c>
      <c r="R32" s="99">
        <f t="shared" si="11"/>
        <v>50.363632977140995</v>
      </c>
    </row>
    <row r="33" spans="2:18" ht="15.75" customHeight="1">
      <c r="B33" s="105" t="s">
        <v>127</v>
      </c>
      <c r="C33" s="97">
        <v>14157532.6</v>
      </c>
      <c r="D33" s="97">
        <f>C33/C36*100</f>
        <v>4.5331223924170025</v>
      </c>
      <c r="E33" s="106">
        <v>17194980.9</v>
      </c>
      <c r="F33" s="97">
        <f>E33/E36*100</f>
        <v>4.729363831672089</v>
      </c>
      <c r="G33" s="106">
        <v>19032262.6</v>
      </c>
      <c r="H33" s="99">
        <f t="shared" si="6"/>
        <v>4.632367235937868</v>
      </c>
      <c r="I33" s="106">
        <v>21464631</v>
      </c>
      <c r="J33" s="99">
        <f t="shared" si="7"/>
        <v>4.649485342381836</v>
      </c>
      <c r="K33" s="106">
        <v>26776063.1</v>
      </c>
      <c r="L33" s="99">
        <f t="shared" si="8"/>
        <v>5.14616155945107</v>
      </c>
      <c r="M33" s="97">
        <v>29077670.8</v>
      </c>
      <c r="N33" s="99">
        <f t="shared" si="9"/>
        <v>4.1879878331742955</v>
      </c>
      <c r="O33" s="97">
        <v>34802538.2</v>
      </c>
      <c r="P33" s="99">
        <f t="shared" si="10"/>
        <v>4.511430987771449</v>
      </c>
      <c r="Q33" s="97">
        <v>37978830.592</v>
      </c>
      <c r="R33" s="99">
        <f t="shared" si="11"/>
        <v>4.6165514557029175</v>
      </c>
    </row>
    <row r="34" spans="2:18" ht="15.75" customHeight="1">
      <c r="B34" s="105" t="s">
        <v>128</v>
      </c>
      <c r="C34" s="97">
        <v>725469</v>
      </c>
      <c r="D34" s="97">
        <f>C34/C36*100</f>
        <v>0.23228904794500493</v>
      </c>
      <c r="E34" s="97">
        <v>359756.1</v>
      </c>
      <c r="F34" s="97">
        <f>E34/E36*100</f>
        <v>0.0989484953463023</v>
      </c>
      <c r="G34" s="97">
        <v>269749.9</v>
      </c>
      <c r="H34" s="99">
        <f t="shared" si="6"/>
        <v>0.06565591411383301</v>
      </c>
      <c r="I34" s="97">
        <v>197767.3</v>
      </c>
      <c r="J34" s="99">
        <f t="shared" si="7"/>
        <v>0.042838666201735834</v>
      </c>
      <c r="K34" s="97">
        <v>233686.8</v>
      </c>
      <c r="L34" s="99">
        <f t="shared" si="8"/>
        <v>0.044912876946093326</v>
      </c>
      <c r="M34" s="97">
        <v>161435.7</v>
      </c>
      <c r="N34" s="99">
        <f t="shared" si="9"/>
        <v>0.023251200279768475</v>
      </c>
      <c r="O34" s="97">
        <v>253284.6</v>
      </c>
      <c r="P34" s="99">
        <f t="shared" si="10"/>
        <v>0.032833122302708836</v>
      </c>
      <c r="Q34" s="97">
        <v>229616.578</v>
      </c>
      <c r="R34" s="99">
        <f t="shared" si="11"/>
        <v>0.027911252950550625</v>
      </c>
    </row>
    <row r="35" spans="2:18" ht="13.5" customHeight="1">
      <c r="B35" s="101" t="s">
        <v>129</v>
      </c>
      <c r="C35" s="102">
        <f>SUM(C25:C34)</f>
        <v>211741112.9</v>
      </c>
      <c r="D35" s="102">
        <f>C35/C36*100</f>
        <v>67.79771641015233</v>
      </c>
      <c r="E35" s="102">
        <f>SUM(E26:E34)</f>
        <v>249940768.40000004</v>
      </c>
      <c r="F35" s="102">
        <f>E35/E36*100</f>
        <v>68.7445270806489</v>
      </c>
      <c r="G35" s="102">
        <f>SUM(G26:G34)</f>
        <v>280860113.4</v>
      </c>
      <c r="H35" s="102">
        <f t="shared" si="6"/>
        <v>68.36009015533202</v>
      </c>
      <c r="I35" s="102">
        <f>SUM(I26:I34)</f>
        <v>312995600.5</v>
      </c>
      <c r="J35" s="102">
        <f t="shared" si="7"/>
        <v>67.79843812617841</v>
      </c>
      <c r="K35" s="102">
        <f>SUM(K26:K34)</f>
        <v>358217328.40000004</v>
      </c>
      <c r="L35" s="103">
        <f t="shared" si="8"/>
        <v>68.84672472038432</v>
      </c>
      <c r="M35" s="102">
        <f>SUM(M26:M34)</f>
        <v>514429179</v>
      </c>
      <c r="N35" s="103">
        <f t="shared" si="9"/>
        <v>74.0920123038824</v>
      </c>
      <c r="O35" s="102">
        <f>SUM(O26:O34)</f>
        <v>524713471.9</v>
      </c>
      <c r="P35" s="103">
        <f t="shared" si="10"/>
        <v>68.0182750817526</v>
      </c>
      <c r="Q35" s="102">
        <f>SUM(Q26:Q34)</f>
        <v>580399140.444</v>
      </c>
      <c r="R35" s="103">
        <f>Q35/$Q$36*100</f>
        <v>70.55094785540547</v>
      </c>
    </row>
    <row r="36" spans="2:18" ht="12.75" customHeight="1">
      <c r="B36" s="101" t="s">
        <v>130</v>
      </c>
      <c r="C36" s="102">
        <f>SUM(C23+C35)</f>
        <v>312313045.5</v>
      </c>
      <c r="D36" s="102">
        <f>C36/C36*100</f>
        <v>100</v>
      </c>
      <c r="E36" s="102">
        <f>SUM(E23+E35)</f>
        <v>363579151.70000005</v>
      </c>
      <c r="F36" s="102">
        <f>E36/E36*100</f>
        <v>100</v>
      </c>
      <c r="G36" s="102">
        <f>SUM(G23+G35)</f>
        <v>410853924.79999995</v>
      </c>
      <c r="H36" s="102">
        <f t="shared" si="6"/>
        <v>100</v>
      </c>
      <c r="I36" s="102">
        <f>SUM(I23+I35)</f>
        <v>461656063.40000004</v>
      </c>
      <c r="J36" s="102">
        <f t="shared" si="7"/>
        <v>100</v>
      </c>
      <c r="K36" s="102">
        <f>SUM(K23+K35)</f>
        <v>520311358.1</v>
      </c>
      <c r="L36" s="103">
        <f t="shared" si="8"/>
        <v>100</v>
      </c>
      <c r="M36" s="102">
        <f>SUM(M23,M35)</f>
        <v>694311253</v>
      </c>
      <c r="N36" s="102">
        <f t="shared" si="9"/>
        <v>100</v>
      </c>
      <c r="O36" s="102">
        <f>SUM(O23,O35)</f>
        <v>771430135.9</v>
      </c>
      <c r="P36" s="102">
        <f t="shared" si="10"/>
        <v>100</v>
      </c>
      <c r="Q36" s="102">
        <f>SUM(Q23,Q35)</f>
        <v>822666680.0189999</v>
      </c>
      <c r="R36" s="102">
        <f>Q36/$Q$36*100</f>
        <v>100</v>
      </c>
    </row>
    <row r="37" spans="2:12" ht="10.5" customHeight="1">
      <c r="B37" s="55"/>
      <c r="C37" s="56"/>
      <c r="D37" s="57"/>
      <c r="E37" s="56"/>
      <c r="F37" s="57"/>
      <c r="G37" s="56"/>
      <c r="H37" s="57"/>
      <c r="I37" s="56"/>
      <c r="J37" s="57"/>
      <c r="K37" s="56"/>
      <c r="L37" s="57"/>
    </row>
  </sheetData>
  <sheetProtection/>
  <mergeCells count="12">
    <mergeCell ref="B6:B7"/>
    <mergeCell ref="C6:D6"/>
    <mergeCell ref="E6:F6"/>
    <mergeCell ref="G6:H6"/>
    <mergeCell ref="I6:J6"/>
    <mergeCell ref="Q6:R6"/>
    <mergeCell ref="B2:R2"/>
    <mergeCell ref="B3:R3"/>
    <mergeCell ref="B4:R4"/>
    <mergeCell ref="O6:P6"/>
    <mergeCell ref="K6:L6"/>
    <mergeCell ref="M6:N6"/>
  </mergeCells>
  <printOptions/>
  <pageMargins left="0.7" right="0.7" top="0.75" bottom="0.75" header="0.3" footer="0.3"/>
  <pageSetup orientation="portrait" paperSize="9"/>
  <ignoredErrors>
    <ignoredError sqref="D23:P23 E28 E31 E35:P36 D36 Q23 Q35:Q36" formula="1"/>
    <ignoredError sqref="C6:R6" numberStoredAsText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60"/>
  <sheetViews>
    <sheetView showGridLines="0" zoomScale="80" zoomScaleNormal="80" zoomScalePageLayoutView="0" workbookViewId="0" topLeftCell="A16">
      <selection activeCell="R50" sqref="R50"/>
    </sheetView>
  </sheetViews>
  <sheetFormatPr defaultColWidth="9.140625" defaultRowHeight="12.75"/>
  <cols>
    <col min="1" max="1" width="9.140625" style="0" customWidth="1"/>
    <col min="2" max="2" width="38.421875" style="0" customWidth="1"/>
    <col min="3" max="3" width="15.00390625" style="0" bestFit="1" customWidth="1"/>
    <col min="4" max="4" width="6.421875" style="0" customWidth="1"/>
    <col min="5" max="5" width="15.00390625" style="0" bestFit="1" customWidth="1"/>
    <col min="6" max="6" width="7.421875" style="0" customWidth="1"/>
    <col min="7" max="7" width="15.00390625" style="0" bestFit="1" customWidth="1"/>
    <col min="8" max="8" width="6.7109375" style="0" bestFit="1" customWidth="1"/>
    <col min="9" max="9" width="15.28125" style="0" customWidth="1"/>
    <col min="10" max="10" width="8.57421875" style="0" customWidth="1"/>
    <col min="11" max="11" width="15.28125" style="0" customWidth="1"/>
    <col min="12" max="12" width="8.7109375" style="0" customWidth="1"/>
    <col min="13" max="13" width="15.00390625" style="0" bestFit="1" customWidth="1"/>
    <col min="14" max="14" width="9.00390625" style="0" customWidth="1"/>
    <col min="15" max="15" width="15.00390625" style="0" bestFit="1" customWidth="1"/>
    <col min="16" max="16" width="9.140625" style="0" customWidth="1"/>
    <col min="17" max="17" width="17.421875" style="0" bestFit="1" customWidth="1"/>
  </cols>
  <sheetData>
    <row r="2" spans="2:18" ht="15">
      <c r="B2" s="226" t="s">
        <v>13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2:18" ht="15" customHeight="1">
      <c r="B3" s="233" t="s">
        <v>102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2:18" ht="15" customHeight="1">
      <c r="B4" s="227" t="s">
        <v>241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2:18" ht="3.75" customHeight="1"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2:14" ht="12.75" customHeight="1">
      <c r="B6" s="92"/>
      <c r="C6" s="93"/>
      <c r="D6" s="93"/>
      <c r="E6" s="93"/>
      <c r="F6" s="93"/>
      <c r="G6" s="93"/>
      <c r="H6" s="93"/>
      <c r="I6" s="93"/>
      <c r="J6" s="93"/>
      <c r="K6" s="62"/>
      <c r="L6" s="62"/>
      <c r="M6" s="62"/>
      <c r="N6" s="62"/>
    </row>
    <row r="7" spans="2:18" ht="17.25" customHeight="1">
      <c r="B7" s="229" t="s">
        <v>103</v>
      </c>
      <c r="C7" s="235" t="s">
        <v>5</v>
      </c>
      <c r="D7" s="232"/>
      <c r="E7" s="225" t="s">
        <v>6</v>
      </c>
      <c r="F7" s="225"/>
      <c r="G7" s="225" t="s">
        <v>7</v>
      </c>
      <c r="H7" s="225"/>
      <c r="I7" s="225" t="s">
        <v>8</v>
      </c>
      <c r="J7" s="225"/>
      <c r="K7" s="225" t="s">
        <v>9</v>
      </c>
      <c r="L7" s="225"/>
      <c r="M7" s="225" t="s">
        <v>14</v>
      </c>
      <c r="N7" s="225"/>
      <c r="O7" s="225" t="s">
        <v>231</v>
      </c>
      <c r="P7" s="225"/>
      <c r="Q7" s="225" t="s">
        <v>245</v>
      </c>
      <c r="R7" s="225"/>
    </row>
    <row r="8" spans="2:18" ht="17.25" customHeight="1">
      <c r="B8" s="234"/>
      <c r="C8" s="94" t="s">
        <v>104</v>
      </c>
      <c r="D8" s="94" t="s">
        <v>105</v>
      </c>
      <c r="E8" s="94" t="s">
        <v>104</v>
      </c>
      <c r="F8" s="94" t="s">
        <v>105</v>
      </c>
      <c r="G8" s="94" t="s">
        <v>104</v>
      </c>
      <c r="H8" s="94" t="s">
        <v>105</v>
      </c>
      <c r="I8" s="94" t="s">
        <v>104</v>
      </c>
      <c r="J8" s="94" t="s">
        <v>105</v>
      </c>
      <c r="K8" s="94" t="s">
        <v>104</v>
      </c>
      <c r="L8" s="94" t="s">
        <v>105</v>
      </c>
      <c r="M8" s="94" t="s">
        <v>104</v>
      </c>
      <c r="N8" s="94" t="s">
        <v>105</v>
      </c>
      <c r="O8" s="161" t="s">
        <v>104</v>
      </c>
      <c r="P8" s="161" t="s">
        <v>105</v>
      </c>
      <c r="Q8" s="191" t="s">
        <v>104</v>
      </c>
      <c r="R8" s="191" t="s">
        <v>105</v>
      </c>
    </row>
    <row r="9" spans="2:18" ht="10.5" customHeight="1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107"/>
      <c r="N9" s="108"/>
      <c r="O9" s="107"/>
      <c r="P9" s="108"/>
      <c r="Q9" s="107"/>
      <c r="R9" s="108"/>
    </row>
    <row r="10" spans="2:18" ht="15" customHeight="1">
      <c r="B10" s="95" t="s">
        <v>131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07"/>
      <c r="N10" s="108"/>
      <c r="O10" s="107"/>
      <c r="P10" s="108"/>
      <c r="Q10" s="107"/>
      <c r="R10" s="108"/>
    </row>
    <row r="11" spans="2:18" ht="15" customHeight="1">
      <c r="B11" s="104" t="s">
        <v>132</v>
      </c>
      <c r="C11" s="107">
        <v>1546195</v>
      </c>
      <c r="D11" s="108">
        <f>C11/C49*100</f>
        <v>0.49507858294058993</v>
      </c>
      <c r="E11" s="97">
        <v>1949464.3</v>
      </c>
      <c r="F11" s="108">
        <f>E11/E49*100</f>
        <v>0.536187042322097</v>
      </c>
      <c r="G11" s="97">
        <v>2364276.4</v>
      </c>
      <c r="H11" s="108">
        <f aca="true" t="shared" si="0" ref="H11:H24">G11/$G$49*100</f>
        <v>0.5754542569237737</v>
      </c>
      <c r="I11" s="97">
        <v>2999070.2</v>
      </c>
      <c r="J11" s="108">
        <f aca="true" t="shared" si="1" ref="J11:J24">I11/$I$49*100</f>
        <v>0.6496330142211235</v>
      </c>
      <c r="K11" s="97">
        <v>2962121.4</v>
      </c>
      <c r="L11" s="108">
        <f aca="true" t="shared" si="2" ref="L11:L24">K11/$K$49*100</f>
        <v>0.569297854810754</v>
      </c>
      <c r="M11" s="107"/>
      <c r="N11" s="108"/>
      <c r="O11" s="107"/>
      <c r="P11" s="108"/>
      <c r="Q11" s="107"/>
      <c r="R11" s="108"/>
    </row>
    <row r="12" spans="2:18" ht="15" customHeight="1">
      <c r="B12" s="104" t="s">
        <v>133</v>
      </c>
      <c r="C12" s="107">
        <v>81903.3</v>
      </c>
      <c r="D12" s="108">
        <f>C12/C49*100</f>
        <v>0.02622474506912648</v>
      </c>
      <c r="E12" s="97">
        <v>9911</v>
      </c>
      <c r="F12" s="108">
        <f>E12/E49*100</f>
        <v>0.002725953882025079</v>
      </c>
      <c r="G12" s="97">
        <v>8365.4</v>
      </c>
      <c r="H12" s="108">
        <f t="shared" si="0"/>
        <v>0.0020361007879070893</v>
      </c>
      <c r="I12" s="97">
        <v>4672.4</v>
      </c>
      <c r="J12" s="108">
        <f t="shared" si="1"/>
        <v>0.0010120954473312352</v>
      </c>
      <c r="K12" s="97">
        <v>10041.5</v>
      </c>
      <c r="L12" s="108">
        <f t="shared" si="2"/>
        <v>0.001929902133343416</v>
      </c>
      <c r="M12" s="107">
        <v>14118.2</v>
      </c>
      <c r="N12" s="108">
        <f>M12/$M$49*100</f>
        <v>0.002033410799406992</v>
      </c>
      <c r="O12" s="107">
        <v>9927.5</v>
      </c>
      <c r="P12" s="108">
        <f aca="true" t="shared" si="3" ref="P12:P24">O12/$O$49*100</f>
        <v>0.001286895538300165</v>
      </c>
      <c r="Q12" s="107">
        <v>1844.486</v>
      </c>
      <c r="R12" s="108">
        <f>Q12/$Q$49*100</f>
        <v>0.00022420818112733225</v>
      </c>
    </row>
    <row r="13" spans="2:18" ht="15" customHeight="1">
      <c r="B13" s="104" t="s">
        <v>134</v>
      </c>
      <c r="C13" s="107">
        <v>12626332.6</v>
      </c>
      <c r="D13" s="108">
        <f>C13/C49*100</f>
        <v>4.04284508185874</v>
      </c>
      <c r="E13" s="97">
        <v>15697466.3</v>
      </c>
      <c r="F13" s="108">
        <f>E13/E49*100</f>
        <v>4.317482514220851</v>
      </c>
      <c r="G13" s="97">
        <v>16083753.3</v>
      </c>
      <c r="H13" s="108">
        <f t="shared" si="0"/>
        <v>3.9147133151592572</v>
      </c>
      <c r="I13" s="97">
        <v>17494204.7</v>
      </c>
      <c r="J13" s="108">
        <f t="shared" si="1"/>
        <v>3.789445452347979</v>
      </c>
      <c r="K13" s="97">
        <v>19808163.6</v>
      </c>
      <c r="L13" s="108">
        <f t="shared" si="2"/>
        <v>3.8069827405522485</v>
      </c>
      <c r="M13" s="107">
        <v>24405727.3</v>
      </c>
      <c r="N13" s="108">
        <f aca="true" t="shared" si="4" ref="N13:N23">M13/$M$49*100</f>
        <v>3.515098911986092</v>
      </c>
      <c r="O13" s="107">
        <v>26796034.2</v>
      </c>
      <c r="P13" s="108">
        <f t="shared" si="3"/>
        <v>3.473552944459192</v>
      </c>
      <c r="Q13" s="107">
        <v>24676264.343</v>
      </c>
      <c r="R13" s="108">
        <f aca="true" t="shared" si="5" ref="R13:R23">Q13/$Q$49*100</f>
        <v>2.9995458601264926</v>
      </c>
    </row>
    <row r="14" spans="2:18" ht="15" customHeight="1">
      <c r="B14" s="104" t="s">
        <v>135</v>
      </c>
      <c r="C14" s="107">
        <v>566849.8</v>
      </c>
      <c r="D14" s="108">
        <f>C14/C49*100</f>
        <v>0.1815005194843838</v>
      </c>
      <c r="E14" s="97">
        <v>531098.6</v>
      </c>
      <c r="F14" s="108">
        <f>E14/E49*100</f>
        <v>0.1460750974077373</v>
      </c>
      <c r="G14" s="97">
        <v>600807.3</v>
      </c>
      <c r="H14" s="108">
        <f t="shared" si="0"/>
        <v>0.14623379837310005</v>
      </c>
      <c r="I14" s="97">
        <v>405599.5</v>
      </c>
      <c r="J14" s="108">
        <f t="shared" si="1"/>
        <v>0.08785750521997802</v>
      </c>
      <c r="K14" s="97">
        <v>582177.9</v>
      </c>
      <c r="L14" s="108">
        <f t="shared" si="2"/>
        <v>0.11189029240605387</v>
      </c>
      <c r="M14" s="107">
        <v>514306.2</v>
      </c>
      <c r="N14" s="108">
        <f t="shared" si="4"/>
        <v>0.07407429993072576</v>
      </c>
      <c r="O14" s="107">
        <v>623560.2</v>
      </c>
      <c r="P14" s="108">
        <f t="shared" si="3"/>
        <v>0.0808317138495652</v>
      </c>
      <c r="Q14" s="107">
        <v>605963.501</v>
      </c>
      <c r="R14" s="108">
        <f t="shared" si="5"/>
        <v>0.07365844706262904</v>
      </c>
    </row>
    <row r="15" spans="2:18" ht="15" customHeight="1">
      <c r="B15" s="104" t="s">
        <v>136</v>
      </c>
      <c r="C15" s="107">
        <v>33587164.5</v>
      </c>
      <c r="D15" s="108">
        <f>C15/C49*100</f>
        <v>10.754326463125599</v>
      </c>
      <c r="E15" s="97">
        <v>51285165.4</v>
      </c>
      <c r="F15" s="108">
        <f>E15/E49*100</f>
        <v>14.105639765152683</v>
      </c>
      <c r="G15" s="97">
        <v>46987579.1</v>
      </c>
      <c r="H15" s="108">
        <f t="shared" si="0"/>
        <v>11.436565714413739</v>
      </c>
      <c r="I15" s="97">
        <v>64135684.5</v>
      </c>
      <c r="J15" s="108">
        <f t="shared" si="1"/>
        <v>13.892525103570428</v>
      </c>
      <c r="K15" s="97">
        <v>68089303.9</v>
      </c>
      <c r="L15" s="108">
        <f t="shared" si="2"/>
        <v>13.086261301048468</v>
      </c>
      <c r="M15" s="107">
        <v>57019917.5</v>
      </c>
      <c r="N15" s="108">
        <f t="shared" si="4"/>
        <v>8.212443231133978</v>
      </c>
      <c r="O15" s="107">
        <v>70958184.6</v>
      </c>
      <c r="P15" s="108">
        <f t="shared" si="3"/>
        <v>9.198264534638072</v>
      </c>
      <c r="Q15" s="107">
        <v>59493677.953</v>
      </c>
      <c r="R15" s="108">
        <f t="shared" si="5"/>
        <v>7.231808385868691</v>
      </c>
    </row>
    <row r="16" spans="2:18" ht="15" customHeight="1">
      <c r="B16" s="104" t="s">
        <v>137</v>
      </c>
      <c r="C16" s="107">
        <v>7191501.2</v>
      </c>
      <c r="D16" s="108">
        <f>C16/C49*100</f>
        <v>2.3026579592558196</v>
      </c>
      <c r="E16" s="106">
        <v>5156763.1</v>
      </c>
      <c r="F16" s="108">
        <f>E16/E49*100</f>
        <v>1.4183330028381271</v>
      </c>
      <c r="G16" s="106">
        <v>7282608.6</v>
      </c>
      <c r="H16" s="108">
        <f t="shared" si="0"/>
        <v>1.772554224362128</v>
      </c>
      <c r="I16" s="106">
        <v>8179842.5</v>
      </c>
      <c r="J16" s="108">
        <f t="shared" si="1"/>
        <v>1.77184773438416</v>
      </c>
      <c r="K16" s="106">
        <v>7457780.3</v>
      </c>
      <c r="L16" s="108">
        <f t="shared" si="2"/>
        <v>1.4333302903925211</v>
      </c>
      <c r="M16" s="107">
        <v>6959663.4</v>
      </c>
      <c r="N16" s="108">
        <f t="shared" si="4"/>
        <v>1.0023837824791817</v>
      </c>
      <c r="O16" s="107">
        <v>10404462.7</v>
      </c>
      <c r="P16" s="108">
        <f t="shared" si="3"/>
        <v>1.348723911059228</v>
      </c>
      <c r="Q16" s="107">
        <v>10542039.23</v>
      </c>
      <c r="R16" s="108">
        <f t="shared" si="5"/>
        <v>1.2814472113809932</v>
      </c>
    </row>
    <row r="17" spans="2:18" ht="15" customHeight="1">
      <c r="B17" s="104" t="s">
        <v>242</v>
      </c>
      <c r="C17" s="107">
        <v>70035.5</v>
      </c>
      <c r="D17" s="108">
        <f>C17/C49*100</f>
        <v>0.022424775720743945</v>
      </c>
      <c r="E17" s="97">
        <v>90472.4</v>
      </c>
      <c r="F17" s="108">
        <f>E17/E49*100</f>
        <v>0.024883825042490742</v>
      </c>
      <c r="G17" s="97">
        <v>51528.2</v>
      </c>
      <c r="H17" s="108">
        <f t="shared" si="0"/>
        <v>0.012541732447872675</v>
      </c>
      <c r="I17" s="97">
        <v>302678.2</v>
      </c>
      <c r="J17" s="108">
        <f t="shared" si="1"/>
        <v>0.06556357080438599</v>
      </c>
      <c r="K17" s="97">
        <v>9732</v>
      </c>
      <c r="L17" s="108">
        <f t="shared" si="2"/>
        <v>0.0018704185193146566</v>
      </c>
      <c r="M17" s="107">
        <v>11489.9</v>
      </c>
      <c r="N17" s="108">
        <f t="shared" si="4"/>
        <v>0.001654862995573543</v>
      </c>
      <c r="O17" s="107">
        <v>19785.1</v>
      </c>
      <c r="P17" s="108">
        <f t="shared" si="3"/>
        <v>0.0025647299838652826</v>
      </c>
      <c r="Q17" s="107">
        <v>13006.428</v>
      </c>
      <c r="R17" s="108">
        <f t="shared" si="5"/>
        <v>0.0015810082401512431</v>
      </c>
    </row>
    <row r="18" spans="2:18" ht="15" customHeight="1">
      <c r="B18" s="104" t="s">
        <v>138</v>
      </c>
      <c r="C18" s="107">
        <v>15238.2</v>
      </c>
      <c r="D18" s="108">
        <f>C18/C49*100</f>
        <v>0.0048791429687492826</v>
      </c>
      <c r="E18" s="97">
        <v>95683</v>
      </c>
      <c r="F18" s="108">
        <f>E18/E49*100</f>
        <v>0.026316965522531086</v>
      </c>
      <c r="G18" s="97">
        <v>1931.9</v>
      </c>
      <c r="H18" s="108">
        <f t="shared" si="0"/>
        <v>0.000470215783125458</v>
      </c>
      <c r="I18" s="97"/>
      <c r="J18" s="108">
        <f t="shared" si="1"/>
        <v>0</v>
      </c>
      <c r="K18" s="97">
        <v>102917.6</v>
      </c>
      <c r="L18" s="108">
        <f t="shared" si="2"/>
        <v>0.01978000256919627</v>
      </c>
      <c r="M18" s="107">
        <v>76733</v>
      </c>
      <c r="N18" s="108">
        <f t="shared" si="4"/>
        <v>0.01105167166288172</v>
      </c>
      <c r="O18" s="107">
        <v>338213.6</v>
      </c>
      <c r="P18" s="108">
        <f t="shared" si="3"/>
        <v>0.043842414790474606</v>
      </c>
      <c r="Q18" s="107">
        <v>205685.524</v>
      </c>
      <c r="R18" s="108">
        <f t="shared" si="5"/>
        <v>0.025002291814772377</v>
      </c>
    </row>
    <row r="19" spans="2:18" ht="15" customHeight="1">
      <c r="B19" s="105" t="s">
        <v>139</v>
      </c>
      <c r="C19" s="107">
        <v>46420.6</v>
      </c>
      <c r="D19" s="108">
        <f>C19/C49*100</f>
        <v>0.014863484144788948</v>
      </c>
      <c r="E19" s="97">
        <v>22002.4</v>
      </c>
      <c r="F19" s="108">
        <f>E19/E49*100</f>
        <v>0.006051612117230209</v>
      </c>
      <c r="G19" s="97">
        <v>18121.8</v>
      </c>
      <c r="H19" s="108">
        <f t="shared" si="0"/>
        <v>0.004410764728320785</v>
      </c>
      <c r="I19" s="97">
        <v>120243.6</v>
      </c>
      <c r="J19" s="108">
        <f t="shared" si="1"/>
        <v>0.0260461433376248</v>
      </c>
      <c r="K19" s="97">
        <v>307518.2</v>
      </c>
      <c r="L19" s="108">
        <f t="shared" si="2"/>
        <v>0.05910272670636133</v>
      </c>
      <c r="M19" s="107">
        <v>474268.4</v>
      </c>
      <c r="N19" s="108">
        <f t="shared" si="4"/>
        <v>0.06830775073150083</v>
      </c>
      <c r="O19" s="107">
        <v>837275.4</v>
      </c>
      <c r="P19" s="108">
        <f t="shared" si="3"/>
        <v>0.10853547988803686</v>
      </c>
      <c r="Q19" s="107">
        <v>772695.352</v>
      </c>
      <c r="R19" s="108">
        <f t="shared" si="5"/>
        <v>0.09392568956200466</v>
      </c>
    </row>
    <row r="20" spans="2:18" ht="15" customHeight="1">
      <c r="B20" s="104" t="s">
        <v>140</v>
      </c>
      <c r="C20" s="107">
        <v>5353454.2</v>
      </c>
      <c r="D20" s="108">
        <f>C20/C49*100</f>
        <v>1.7141308303114091</v>
      </c>
      <c r="E20" s="97">
        <v>3636249.3</v>
      </c>
      <c r="F20" s="108">
        <f>E20/E49*100</f>
        <v>1.0001259101347972</v>
      </c>
      <c r="G20" s="97">
        <v>3283109.4</v>
      </c>
      <c r="H20" s="108">
        <f t="shared" si="0"/>
        <v>0.7990940823063059</v>
      </c>
      <c r="I20" s="97">
        <v>3172048.8</v>
      </c>
      <c r="J20" s="108">
        <f t="shared" si="1"/>
        <v>0.6871021635974034</v>
      </c>
      <c r="K20" s="97">
        <f>5596571+1355153.5</f>
        <v>6951724.5</v>
      </c>
      <c r="L20" s="108">
        <f t="shared" si="2"/>
        <v>1.3360701033675937</v>
      </c>
      <c r="M20" s="107">
        <f>12037562.8+1452247.1</f>
        <v>13489809.9</v>
      </c>
      <c r="N20" s="108">
        <f t="shared" si="4"/>
        <v>1.942905266436752</v>
      </c>
      <c r="O20" s="107">
        <v>13458270.3</v>
      </c>
      <c r="P20" s="108">
        <f t="shared" si="3"/>
        <v>1.7445870563895869</v>
      </c>
      <c r="Q20" s="107">
        <v>20207369.823</v>
      </c>
      <c r="R20" s="108">
        <f t="shared" si="5"/>
        <v>2.456325303299766</v>
      </c>
    </row>
    <row r="21" spans="2:18" ht="15" customHeight="1">
      <c r="B21" s="104" t="s">
        <v>141</v>
      </c>
      <c r="C21" s="107">
        <v>1529131.9</v>
      </c>
      <c r="D21" s="108">
        <f>C21/C49*100</f>
        <v>0.48961512240128297</v>
      </c>
      <c r="E21" s="106">
        <v>4039812</v>
      </c>
      <c r="F21" s="108">
        <f>E21/E49*100</f>
        <v>1.1111231161387851</v>
      </c>
      <c r="G21" s="106">
        <v>4646988.3</v>
      </c>
      <c r="H21" s="108">
        <f t="shared" si="0"/>
        <v>1.1310560808837624</v>
      </c>
      <c r="I21" s="106">
        <v>5868399.2</v>
      </c>
      <c r="J21" s="108">
        <f t="shared" si="1"/>
        <v>1.2711625959768562</v>
      </c>
      <c r="K21" s="106">
        <v>6328995.4</v>
      </c>
      <c r="L21" s="108">
        <f t="shared" si="2"/>
        <v>1.2163861698332588</v>
      </c>
      <c r="M21" s="107">
        <v>7090188.4</v>
      </c>
      <c r="N21" s="108">
        <f t="shared" si="4"/>
        <v>1.0211829880856045</v>
      </c>
      <c r="O21" s="107">
        <v>6224768.7</v>
      </c>
      <c r="P21" s="108">
        <f t="shared" si="3"/>
        <v>0.8069128246769598</v>
      </c>
      <c r="Q21" s="107">
        <v>6713684.283</v>
      </c>
      <c r="R21" s="108">
        <f t="shared" si="5"/>
        <v>0.8160880276427078</v>
      </c>
    </row>
    <row r="22" spans="2:18" ht="15" customHeight="1">
      <c r="B22" s="104" t="s">
        <v>142</v>
      </c>
      <c r="C22" s="107">
        <f>2527926.1+165833.9+26758.7</f>
        <v>2720518.7</v>
      </c>
      <c r="D22" s="108">
        <f>C22/C49*100</f>
        <v>0.8710871156997505</v>
      </c>
      <c r="E22" s="106">
        <f>2397608.1+78147.9</f>
        <v>2475756</v>
      </c>
      <c r="F22" s="108">
        <f>E22/E49*100</f>
        <v>0.6809400342192393</v>
      </c>
      <c r="G22" s="106">
        <f>3401459.8+61132.6</f>
        <v>3462592.4</v>
      </c>
      <c r="H22" s="108">
        <f t="shared" si="0"/>
        <v>0.8427794383820378</v>
      </c>
      <c r="I22" s="106">
        <v>5391877.9</v>
      </c>
      <c r="J22" s="108">
        <f t="shared" si="1"/>
        <v>1.1679426151776178</v>
      </c>
      <c r="K22" s="106">
        <v>6063162.1</v>
      </c>
      <c r="L22" s="108">
        <f t="shared" si="2"/>
        <v>1.1652949730216546</v>
      </c>
      <c r="M22" s="107">
        <v>9172942.5</v>
      </c>
      <c r="N22" s="108">
        <f t="shared" si="4"/>
        <v>1.3211571122267265</v>
      </c>
      <c r="O22" s="107">
        <v>11335090</v>
      </c>
      <c r="P22" s="108">
        <f t="shared" si="3"/>
        <v>1.4693605386281356</v>
      </c>
      <c r="Q22" s="107">
        <v>9164242.894</v>
      </c>
      <c r="R22" s="108">
        <f t="shared" si="5"/>
        <v>1.1139679187984182</v>
      </c>
    </row>
    <row r="23" spans="2:18" ht="15" customHeight="1">
      <c r="B23" s="104" t="s">
        <v>143</v>
      </c>
      <c r="C23" s="97">
        <v>474226.8</v>
      </c>
      <c r="D23" s="108">
        <f>C23/C49*100</f>
        <v>0.15184341699232665</v>
      </c>
      <c r="E23" s="97">
        <v>524758.2</v>
      </c>
      <c r="F23" s="108">
        <f>E23/E49*100</f>
        <v>0.14433121303748286</v>
      </c>
      <c r="G23" s="97">
        <v>646987.1</v>
      </c>
      <c r="H23" s="108">
        <f t="shared" si="0"/>
        <v>0.15747375428260726</v>
      </c>
      <c r="I23" s="97">
        <v>523533.3</v>
      </c>
      <c r="J23" s="108">
        <f t="shared" si="1"/>
        <v>0.11340331937682942</v>
      </c>
      <c r="K23" s="97">
        <v>472545.4</v>
      </c>
      <c r="L23" s="108">
        <f t="shared" si="2"/>
        <v>0.090819735653201</v>
      </c>
      <c r="M23" s="107">
        <v>612608.6</v>
      </c>
      <c r="N23" s="108">
        <f t="shared" si="4"/>
        <v>0.08823256102403976</v>
      </c>
      <c r="O23" s="107">
        <v>731504.3</v>
      </c>
      <c r="P23" s="108">
        <f t="shared" si="3"/>
        <v>0.09482443917576282</v>
      </c>
      <c r="Q23" s="107">
        <v>942725.674</v>
      </c>
      <c r="R23" s="108">
        <f t="shared" si="5"/>
        <v>0.11459388071776005</v>
      </c>
    </row>
    <row r="24" spans="2:18" ht="15" customHeight="1">
      <c r="B24" s="101" t="s">
        <v>144</v>
      </c>
      <c r="C24" s="102">
        <f>SUM(C11:C23)</f>
        <v>65808972.30000001</v>
      </c>
      <c r="D24" s="109">
        <f>C24/C49*100</f>
        <v>21.071477239973312</v>
      </c>
      <c r="E24" s="102">
        <f>SUM(E11:E23)</f>
        <v>85514602</v>
      </c>
      <c r="F24" s="109">
        <f>E24/E49*100</f>
        <v>23.520216052036076</v>
      </c>
      <c r="G24" s="102">
        <f>SUM(G11:G23)</f>
        <v>85438649.2</v>
      </c>
      <c r="H24" s="109">
        <f t="shared" si="0"/>
        <v>20.795383478833937</v>
      </c>
      <c r="I24" s="102">
        <f>SUM(I11:I23)</f>
        <v>108597854.8</v>
      </c>
      <c r="J24" s="109">
        <f t="shared" si="1"/>
        <v>23.523541313461717</v>
      </c>
      <c r="K24" s="102">
        <f>SUM(K11:K23)</f>
        <v>119146183.80000001</v>
      </c>
      <c r="L24" s="109">
        <f t="shared" si="2"/>
        <v>22.89901651101397</v>
      </c>
      <c r="M24" s="102">
        <f>SUM(M11:M23)</f>
        <v>119841773.30000003</v>
      </c>
      <c r="N24" s="109">
        <f>M24/$M$49*100</f>
        <v>17.260525849492467</v>
      </c>
      <c r="O24" s="102">
        <f>SUM(O11:O23)</f>
        <v>141737076.60000002</v>
      </c>
      <c r="P24" s="109">
        <f t="shared" si="3"/>
        <v>18.373287483077185</v>
      </c>
      <c r="Q24" s="102">
        <f>SUM(Q11:Q23)</f>
        <v>133339199.491</v>
      </c>
      <c r="R24" s="109">
        <f>Q24/$Q$49*100</f>
        <v>16.208168232695513</v>
      </c>
    </row>
    <row r="25" spans="2:18" ht="15" customHeight="1">
      <c r="B25" s="95" t="s">
        <v>145</v>
      </c>
      <c r="C25" s="96"/>
      <c r="D25" s="108"/>
      <c r="E25" s="96"/>
      <c r="F25" s="108"/>
      <c r="G25" s="96"/>
      <c r="H25" s="108"/>
      <c r="I25" s="96"/>
      <c r="J25" s="108"/>
      <c r="K25" s="96"/>
      <c r="L25" s="110"/>
      <c r="M25" s="97"/>
      <c r="N25" s="110"/>
      <c r="O25" s="97"/>
      <c r="P25" s="110"/>
      <c r="Q25" s="97"/>
      <c r="R25" s="110"/>
    </row>
    <row r="26" spans="2:18" ht="15" customHeight="1">
      <c r="B26" s="104" t="s">
        <v>134</v>
      </c>
      <c r="C26" s="97">
        <v>3942620.8</v>
      </c>
      <c r="D26" s="108">
        <f>C26/C49*100</f>
        <v>1.2623938886984467</v>
      </c>
      <c r="E26" s="97">
        <v>4607222</v>
      </c>
      <c r="F26" s="108">
        <f>E26/E49*100</f>
        <v>1.2671854198619057</v>
      </c>
      <c r="G26" s="97">
        <v>5069405.1</v>
      </c>
      <c r="H26" s="108">
        <f aca="true" t="shared" si="6" ref="H26:H39">G26/$G$49*100</f>
        <v>1.2338704327743104</v>
      </c>
      <c r="I26" s="97">
        <v>6021812.7</v>
      </c>
      <c r="J26" s="108">
        <f aca="true" t="shared" si="7" ref="J26:J39">I26/$I$49*100</f>
        <v>1.3043937202190337</v>
      </c>
      <c r="K26" s="97">
        <v>7335546.6</v>
      </c>
      <c r="L26" s="110">
        <f aca="true" t="shared" si="8" ref="L26:L39">K26/$K$49*100</f>
        <v>1.409837876072304</v>
      </c>
      <c r="M26" s="97">
        <v>7334608</v>
      </c>
      <c r="N26" s="110">
        <f>M26/$M$49*100</f>
        <v>1.0563861623023414</v>
      </c>
      <c r="O26" s="97">
        <v>8429373.1</v>
      </c>
      <c r="P26" s="110">
        <f aca="true" t="shared" si="9" ref="P26:P39">O26/$O$49*100</f>
        <v>1.0926942969586935</v>
      </c>
      <c r="Q26" s="97">
        <v>8976663.86</v>
      </c>
      <c r="R26" s="110">
        <f>Q26/$Q$49*100</f>
        <v>1.0911665779203839</v>
      </c>
    </row>
    <row r="27" spans="2:18" ht="15" customHeight="1">
      <c r="B27" s="104" t="s">
        <v>135</v>
      </c>
      <c r="C27" s="97">
        <v>54472.4</v>
      </c>
      <c r="D27" s="108">
        <f>C27/C49*100</f>
        <v>0.017441602515447917</v>
      </c>
      <c r="E27" s="97">
        <v>32410.6</v>
      </c>
      <c r="F27" s="108">
        <f>E27/E49*100</f>
        <v>0.008914317514757544</v>
      </c>
      <c r="G27" s="97">
        <v>19785.1</v>
      </c>
      <c r="H27" s="108">
        <f t="shared" si="6"/>
        <v>0.004815604477827785</v>
      </c>
      <c r="I27" s="97">
        <v>25361.2</v>
      </c>
      <c r="J27" s="108">
        <f t="shared" si="7"/>
        <v>0.005493526893856888</v>
      </c>
      <c r="K27" s="97">
        <v>24464.1</v>
      </c>
      <c r="L27" s="110">
        <f t="shared" si="8"/>
        <v>0.004701819327822204</v>
      </c>
      <c r="M27" s="97">
        <v>45792.5</v>
      </c>
      <c r="N27" s="110">
        <f aca="true" t="shared" si="10" ref="N27:N37">M27/$M$49*100</f>
        <v>0.006595384966344482</v>
      </c>
      <c r="O27" s="97">
        <v>41440.8</v>
      </c>
      <c r="P27" s="110">
        <f t="shared" si="9"/>
        <v>0.005371944661152301</v>
      </c>
      <c r="Q27" s="97">
        <v>21387.132</v>
      </c>
      <c r="R27" s="110">
        <f aca="true" t="shared" si="11" ref="R27:R37">Q27/$Q$49*100</f>
        <v>0.0025997323727315704</v>
      </c>
    </row>
    <row r="28" spans="2:18" ht="15" customHeight="1">
      <c r="B28" s="104" t="s">
        <v>146</v>
      </c>
      <c r="C28" s="97">
        <v>23759241.9</v>
      </c>
      <c r="D28" s="108">
        <f>C28/C49*100</f>
        <v>7.607508633513035</v>
      </c>
      <c r="E28" s="97">
        <v>29481507.8</v>
      </c>
      <c r="F28" s="108">
        <f>E28/E49*100</f>
        <v>8.108690408168968</v>
      </c>
      <c r="G28" s="97">
        <v>33794514.6</v>
      </c>
      <c r="H28" s="108">
        <f t="shared" si="6"/>
        <v>8.225433070026256</v>
      </c>
      <c r="I28" s="97">
        <v>38734074.2</v>
      </c>
      <c r="J28" s="108">
        <f t="shared" si="7"/>
        <v>8.390244875098505</v>
      </c>
      <c r="K28" s="97">
        <v>47460848.1</v>
      </c>
      <c r="L28" s="110">
        <f t="shared" si="8"/>
        <v>9.121624458345647</v>
      </c>
      <c r="M28" s="97">
        <v>57967235.6</v>
      </c>
      <c r="N28" s="110">
        <f t="shared" si="10"/>
        <v>8.348883206131761</v>
      </c>
      <c r="O28" s="97">
        <v>56723378.4</v>
      </c>
      <c r="P28" s="110">
        <f t="shared" si="9"/>
        <v>7.353015621281485</v>
      </c>
      <c r="Q28" s="97">
        <v>64437380.583</v>
      </c>
      <c r="R28" s="110">
        <f t="shared" si="11"/>
        <v>7.832744676361927</v>
      </c>
    </row>
    <row r="29" spans="2:18" ht="15" customHeight="1">
      <c r="B29" s="104" t="s">
        <v>137</v>
      </c>
      <c r="C29" s="97">
        <v>58163.2</v>
      </c>
      <c r="D29" s="108">
        <f>C29/C49*100</f>
        <v>0.018623365510359376</v>
      </c>
      <c r="E29" s="97">
        <v>4959.8</v>
      </c>
      <c r="F29" s="108">
        <f>E29/E49*100</f>
        <v>0.0013641596270878807</v>
      </c>
      <c r="G29" s="97">
        <v>5615.3</v>
      </c>
      <c r="H29" s="108">
        <f t="shared" si="6"/>
        <v>0.0013667387996192269</v>
      </c>
      <c r="I29" s="97">
        <v>1815</v>
      </c>
      <c r="J29" s="108">
        <f t="shared" si="7"/>
        <v>0.0003931498238391816</v>
      </c>
      <c r="K29" s="97">
        <v>12448.7</v>
      </c>
      <c r="L29" s="110">
        <f t="shared" si="8"/>
        <v>0.0023925481937312337</v>
      </c>
      <c r="M29" s="97">
        <v>631303.7</v>
      </c>
      <c r="N29" s="110">
        <f t="shared" si="10"/>
        <v>0.09092517185516508</v>
      </c>
      <c r="O29" s="97">
        <v>5548659.3</v>
      </c>
      <c r="P29" s="110">
        <f t="shared" si="9"/>
        <v>0.7192691913087601</v>
      </c>
      <c r="Q29" s="97">
        <v>6230827.523</v>
      </c>
      <c r="R29" s="110">
        <f t="shared" si="11"/>
        <v>0.7573939329710017</v>
      </c>
    </row>
    <row r="30" spans="2:18" ht="15" customHeight="1">
      <c r="B30" s="104" t="s">
        <v>147</v>
      </c>
      <c r="C30" s="97">
        <v>5251</v>
      </c>
      <c r="D30" s="108">
        <f>C30/C49*100</f>
        <v>0.001681325860593934</v>
      </c>
      <c r="E30" s="97">
        <v>2226.5</v>
      </c>
      <c r="F30" s="108">
        <f>E30/E49*100</f>
        <v>0.0006123838480808029</v>
      </c>
      <c r="G30" s="97">
        <v>4134.4</v>
      </c>
      <c r="H30" s="108">
        <f t="shared" si="6"/>
        <v>0.0010062943908866367</v>
      </c>
      <c r="I30" s="97">
        <v>3861.2</v>
      </c>
      <c r="J30" s="108">
        <f t="shared" si="7"/>
        <v>0.000836380220279806</v>
      </c>
      <c r="K30" s="97">
        <v>13885.5</v>
      </c>
      <c r="L30" s="110">
        <f t="shared" si="8"/>
        <v>0.0026686905415067475</v>
      </c>
      <c r="M30" s="97">
        <v>13970.2</v>
      </c>
      <c r="N30" s="110">
        <f t="shared" si="10"/>
        <v>0.002012094711073335</v>
      </c>
      <c r="O30" s="97">
        <v>14013.6</v>
      </c>
      <c r="P30" s="110">
        <f t="shared" si="9"/>
        <v>0.0018165740937318752</v>
      </c>
      <c r="Q30" s="97">
        <v>14065.091</v>
      </c>
      <c r="R30" s="110">
        <f t="shared" si="11"/>
        <v>0.0017096949884685547</v>
      </c>
    </row>
    <row r="31" spans="2:18" ht="15" customHeight="1">
      <c r="B31" s="104" t="s">
        <v>148</v>
      </c>
      <c r="C31" s="97">
        <v>92246902.2</v>
      </c>
      <c r="D31" s="108">
        <f>C31/C49*100</f>
        <v>29.536679152264227</v>
      </c>
      <c r="E31" s="97">
        <v>94524626.1</v>
      </c>
      <c r="F31" s="108">
        <f>E31/E49*100</f>
        <v>25.998362573329036</v>
      </c>
      <c r="G31" s="97">
        <v>92883000.6</v>
      </c>
      <c r="H31" s="108">
        <f t="shared" si="6"/>
        <v>22.60730517426957</v>
      </c>
      <c r="I31" s="97">
        <v>87974830.2</v>
      </c>
      <c r="J31" s="108">
        <f t="shared" si="7"/>
        <v>19.056357573229704</v>
      </c>
      <c r="K31" s="97">
        <v>89139711.4</v>
      </c>
      <c r="L31" s="110">
        <f t="shared" si="8"/>
        <v>17.131994143950248</v>
      </c>
      <c r="M31" s="97">
        <v>99327284.8</v>
      </c>
      <c r="N31" s="110">
        <f t="shared" si="10"/>
        <v>14.305872815804701</v>
      </c>
      <c r="O31" s="97">
        <v>115205490.5</v>
      </c>
      <c r="P31" s="110">
        <f t="shared" si="9"/>
        <v>14.934014778356286</v>
      </c>
      <c r="Q31" s="97">
        <v>129165092.439</v>
      </c>
      <c r="R31" s="110">
        <f t="shared" si="11"/>
        <v>15.700780835903295</v>
      </c>
    </row>
    <row r="32" spans="2:18" ht="15" customHeight="1">
      <c r="B32" s="104" t="s">
        <v>140</v>
      </c>
      <c r="C32" s="97">
        <v>27934525.7</v>
      </c>
      <c r="D32" s="108">
        <f>C32/C49*100</f>
        <v>8.944399250206791</v>
      </c>
      <c r="E32" s="97">
        <v>9697547.6</v>
      </c>
      <c r="F32" s="108">
        <f>E32/E49*100</f>
        <v>2.667245235227826</v>
      </c>
      <c r="G32" s="97">
        <v>8775463.4</v>
      </c>
      <c r="H32" s="108">
        <f t="shared" si="6"/>
        <v>2.1359083777213077</v>
      </c>
      <c r="I32" s="97">
        <v>8985805.7</v>
      </c>
      <c r="J32" s="108">
        <f t="shared" si="7"/>
        <v>1.9464286104727897</v>
      </c>
      <c r="K32" s="97">
        <v>9981447.4</v>
      </c>
      <c r="L32" s="110">
        <f t="shared" si="8"/>
        <v>1.9183604671727423</v>
      </c>
      <c r="M32" s="97">
        <v>6954740.3</v>
      </c>
      <c r="N32" s="110">
        <f t="shared" si="10"/>
        <v>1.0016747200840774</v>
      </c>
      <c r="O32" s="97">
        <v>29000194.3</v>
      </c>
      <c r="P32" s="110">
        <f t="shared" si="9"/>
        <v>3.7592768224132835</v>
      </c>
      <c r="Q32" s="97">
        <v>21351170.539</v>
      </c>
      <c r="R32" s="110">
        <f t="shared" si="11"/>
        <v>2.5953610444799646</v>
      </c>
    </row>
    <row r="33" spans="2:18" ht="15" customHeight="1">
      <c r="B33" s="104" t="s">
        <v>149</v>
      </c>
      <c r="C33" s="97">
        <v>57024204.7</v>
      </c>
      <c r="D33" s="108">
        <f>C33/C49*100</f>
        <v>18.258668832967462</v>
      </c>
      <c r="E33" s="97">
        <v>68647077.4</v>
      </c>
      <c r="F33" s="108">
        <f>E33/E49*100</f>
        <v>18.88091687299022</v>
      </c>
      <c r="G33" s="97">
        <v>80170943.4</v>
      </c>
      <c r="H33" s="108">
        <f t="shared" si="6"/>
        <v>19.513247546321118</v>
      </c>
      <c r="I33" s="97">
        <v>94570652</v>
      </c>
      <c r="J33" s="108">
        <f t="shared" si="7"/>
        <v>20.48508825022399</v>
      </c>
      <c r="K33" s="97">
        <v>127599742.6</v>
      </c>
      <c r="L33" s="110">
        <f t="shared" si="8"/>
        <v>24.523728074272842</v>
      </c>
      <c r="M33" s="97">
        <v>140683281.4</v>
      </c>
      <c r="N33" s="110">
        <f t="shared" si="10"/>
        <v>20.262278739129126</v>
      </c>
      <c r="O33" s="97">
        <v>145568281.9</v>
      </c>
      <c r="P33" s="110">
        <f t="shared" si="9"/>
        <v>18.869924199962796</v>
      </c>
      <c r="Q33" s="97">
        <v>207957319.755</v>
      </c>
      <c r="R33" s="110">
        <f t="shared" si="11"/>
        <v>25.278442023622617</v>
      </c>
    </row>
    <row r="34" spans="2:18" ht="15" customHeight="1">
      <c r="B34" s="104" t="s">
        <v>150</v>
      </c>
      <c r="C34" s="97">
        <v>2677658.1</v>
      </c>
      <c r="D34" s="108">
        <f>C34/C49*100</f>
        <v>0.8573635134943473</v>
      </c>
      <c r="E34" s="106">
        <v>2498934.2</v>
      </c>
      <c r="F34" s="108">
        <f>E34/E49*100</f>
        <v>0.6873150422172571</v>
      </c>
      <c r="G34" s="106">
        <v>2362784.8</v>
      </c>
      <c r="H34" s="108">
        <f t="shared" si="6"/>
        <v>0.5750912081830988</v>
      </c>
      <c r="I34" s="106">
        <v>2846244.4</v>
      </c>
      <c r="J34" s="108">
        <f t="shared" si="7"/>
        <v>0.6165291925417393</v>
      </c>
      <c r="K34" s="106">
        <v>4122216.9</v>
      </c>
      <c r="L34" s="110">
        <f t="shared" si="8"/>
        <v>0.7922596414294958</v>
      </c>
      <c r="M34" s="97">
        <v>7526963.4</v>
      </c>
      <c r="N34" s="110">
        <f t="shared" si="10"/>
        <v>1.0840906535040706</v>
      </c>
      <c r="O34" s="97">
        <v>8062972.4</v>
      </c>
      <c r="P34" s="110">
        <f t="shared" si="9"/>
        <v>1.0451980062450137</v>
      </c>
      <c r="Q34" s="97">
        <v>7531148.689</v>
      </c>
      <c r="R34" s="110">
        <f t="shared" si="11"/>
        <v>0.9154556604713631</v>
      </c>
    </row>
    <row r="35" spans="2:18" ht="15" customHeight="1">
      <c r="B35" s="104" t="s">
        <v>151</v>
      </c>
      <c r="C35" s="97">
        <v>12951100.8</v>
      </c>
      <c r="D35" s="108">
        <f>C35/C49*100</f>
        <v>4.146833117158405</v>
      </c>
      <c r="E35" s="97">
        <v>13856605.8</v>
      </c>
      <c r="F35" s="108">
        <f>E35/E49*100</f>
        <v>3.8111662165473943</v>
      </c>
      <c r="G35" s="97">
        <v>22971947.1</v>
      </c>
      <c r="H35" s="108">
        <f t="shared" si="6"/>
        <v>5.59126874866354</v>
      </c>
      <c r="I35" s="97">
        <v>31510592.6</v>
      </c>
      <c r="J35" s="108">
        <f t="shared" si="7"/>
        <v>6.8255558841643085</v>
      </c>
      <c r="K35" s="97">
        <v>36781253.9</v>
      </c>
      <c r="L35" s="110">
        <f t="shared" si="8"/>
        <v>7.069085332734734</v>
      </c>
      <c r="M35" s="97">
        <v>49986380.5</v>
      </c>
      <c r="N35" s="110">
        <f t="shared" si="10"/>
        <v>7.199419609579626</v>
      </c>
      <c r="O35" s="97">
        <v>55614430.3</v>
      </c>
      <c r="P35" s="110">
        <f t="shared" si="9"/>
        <v>7.209263381332208</v>
      </c>
      <c r="Q35" s="97">
        <v>63404264.938</v>
      </c>
      <c r="R35" s="110">
        <f t="shared" si="11"/>
        <v>7.707163360125511</v>
      </c>
    </row>
    <row r="36" spans="2:18" ht="15" customHeight="1">
      <c r="B36" s="104" t="s">
        <v>143</v>
      </c>
      <c r="C36" s="97">
        <v>2322673.7</v>
      </c>
      <c r="D36" s="108">
        <f>C36/C49*100</f>
        <v>0.7437005061000564</v>
      </c>
      <c r="E36" s="97">
        <v>24398202.6</v>
      </c>
      <c r="F36" s="108">
        <f>E36/E49*100</f>
        <v>6.710561506599171</v>
      </c>
      <c r="G36" s="97">
        <v>26217493.5</v>
      </c>
      <c r="H36" s="108">
        <f t="shared" si="6"/>
        <v>6.3812201654791165</v>
      </c>
      <c r="I36" s="97">
        <v>30203466.7</v>
      </c>
      <c r="J36" s="108">
        <f t="shared" si="7"/>
        <v>6.5424174173209835</v>
      </c>
      <c r="K36" s="97">
        <v>5758697.9</v>
      </c>
      <c r="L36" s="110">
        <f t="shared" si="8"/>
        <v>1.1067792025584076</v>
      </c>
      <c r="M36" s="97">
        <v>5109204.6</v>
      </c>
      <c r="N36" s="110">
        <f t="shared" si="10"/>
        <v>0.7358665984346362</v>
      </c>
      <c r="O36" s="97">
        <v>5737283.8</v>
      </c>
      <c r="P36" s="110">
        <f t="shared" si="9"/>
        <v>0.7437204657951968</v>
      </c>
      <c r="Q36" s="97">
        <v>3491445.031</v>
      </c>
      <c r="R36" s="110">
        <f t="shared" si="11"/>
        <v>0.42440579104778897</v>
      </c>
    </row>
    <row r="37" spans="2:18" ht="15" customHeight="1">
      <c r="B37" s="111" t="s">
        <v>152</v>
      </c>
      <c r="C37" s="97">
        <v>694997.9</v>
      </c>
      <c r="D37" s="108"/>
      <c r="E37" s="97">
        <v>852819.2</v>
      </c>
      <c r="F37" s="108"/>
      <c r="G37" s="97">
        <v>918753.5</v>
      </c>
      <c r="H37" s="108">
        <f t="shared" si="6"/>
        <v>0.22362047543959596</v>
      </c>
      <c r="I37" s="97">
        <v>1562951.5</v>
      </c>
      <c r="J37" s="108">
        <f t="shared" si="7"/>
        <v>0.3385532269389447</v>
      </c>
      <c r="K37" s="107">
        <v>2037415</v>
      </c>
      <c r="L37" s="110">
        <f t="shared" si="8"/>
        <v>0.3915761146248943</v>
      </c>
      <c r="M37" s="97">
        <v>1613110.4</v>
      </c>
      <c r="N37" s="110">
        <f t="shared" si="10"/>
        <v>0.23233245796176086</v>
      </c>
      <c r="O37" s="97">
        <v>1711287.2</v>
      </c>
      <c r="P37" s="110">
        <f t="shared" si="9"/>
        <v>0.22183307604433966</v>
      </c>
      <c r="Q37" s="97">
        <v>2109055.982</v>
      </c>
      <c r="R37" s="110">
        <f t="shared" si="11"/>
        <v>0.25636822703991224</v>
      </c>
    </row>
    <row r="38" spans="2:18" ht="15" customHeight="1">
      <c r="B38" s="112" t="s">
        <v>153</v>
      </c>
      <c r="C38" s="103">
        <f>SUM(C26:C37)</f>
        <v>223671812.39999998</v>
      </c>
      <c r="D38" s="113">
        <f>C38/C49*100</f>
        <v>71.61782564731192</v>
      </c>
      <c r="E38" s="103">
        <f>SUM(E26:E37)</f>
        <v>248604139.59999996</v>
      </c>
      <c r="F38" s="113">
        <f>E38/E49*100</f>
        <v>68.37689632026279</v>
      </c>
      <c r="G38" s="103">
        <f>SUM(G26:G37)</f>
        <v>273193840.8</v>
      </c>
      <c r="H38" s="113">
        <f t="shared" si="6"/>
        <v>66.49415383654626</v>
      </c>
      <c r="I38" s="103">
        <f>SUM(I26:I37)</f>
        <v>302441467.4</v>
      </c>
      <c r="J38" s="113">
        <f t="shared" si="7"/>
        <v>65.51229180714797</v>
      </c>
      <c r="K38" s="103">
        <f>SUM(K26:K37)</f>
        <v>330267678.0999999</v>
      </c>
      <c r="L38" s="113">
        <f t="shared" si="8"/>
        <v>63.47500836922436</v>
      </c>
      <c r="M38" s="103">
        <f>SUM(M26:M37)</f>
        <v>377193875.4</v>
      </c>
      <c r="N38" s="113">
        <f>M38/$M$49*100</f>
        <v>54.326337614464684</v>
      </c>
      <c r="O38" s="103">
        <f>SUM(O26:O37)</f>
        <v>431656805.59999996</v>
      </c>
      <c r="P38" s="113">
        <f t="shared" si="9"/>
        <v>55.955398358452946</v>
      </c>
      <c r="Q38" s="103">
        <f>SUM(Q26:Q37)</f>
        <v>514689821.56200004</v>
      </c>
      <c r="R38" s="113">
        <f>Q38/$Q$49*100</f>
        <v>62.56359155730497</v>
      </c>
    </row>
    <row r="39" spans="2:18" ht="15" customHeight="1">
      <c r="B39" s="112" t="s">
        <v>154</v>
      </c>
      <c r="C39" s="103">
        <f>SUM(C24+C38)</f>
        <v>289480784.7</v>
      </c>
      <c r="D39" s="113">
        <f>C39/C49*100</f>
        <v>92.68930288728524</v>
      </c>
      <c r="E39" s="103">
        <f>SUM(E24+E38)</f>
        <v>334118741.59999996</v>
      </c>
      <c r="F39" s="113">
        <f>E39/E49*100</f>
        <v>91.89711237229888</v>
      </c>
      <c r="G39" s="103">
        <f>SUM(G24+G38)</f>
        <v>358632490</v>
      </c>
      <c r="H39" s="113">
        <f t="shared" si="6"/>
        <v>87.28953731538019</v>
      </c>
      <c r="I39" s="103">
        <f>SUM(I24+I38)</f>
        <v>411039322.2</v>
      </c>
      <c r="J39" s="113">
        <f t="shared" si="7"/>
        <v>89.03583312060968</v>
      </c>
      <c r="K39" s="103">
        <f>SUM(K24+K38)</f>
        <v>449413861.8999999</v>
      </c>
      <c r="L39" s="113">
        <f t="shared" si="8"/>
        <v>86.37402488023834</v>
      </c>
      <c r="M39" s="103">
        <f>SUM(M24,M38)</f>
        <v>497035648.7</v>
      </c>
      <c r="N39" s="113">
        <f>M39/$M$49*100</f>
        <v>71.58686346395714</v>
      </c>
      <c r="O39" s="103">
        <f>SUM(O24,O38)</f>
        <v>573393882.2</v>
      </c>
      <c r="P39" s="113">
        <f t="shared" si="9"/>
        <v>74.32868584153015</v>
      </c>
      <c r="Q39" s="103">
        <f>SUM(Q24,Q38)</f>
        <v>648029021.053</v>
      </c>
      <c r="R39" s="113">
        <f>Q39/$Q$49*100</f>
        <v>78.77175979000047</v>
      </c>
    </row>
    <row r="40" spans="2:18" ht="15" customHeight="1">
      <c r="B40" s="104" t="s">
        <v>155</v>
      </c>
      <c r="C40" s="97"/>
      <c r="D40" s="108"/>
      <c r="E40" s="97"/>
      <c r="F40" s="108"/>
      <c r="G40" s="97"/>
      <c r="H40" s="108"/>
      <c r="I40" s="97"/>
      <c r="J40" s="108"/>
      <c r="K40" s="97"/>
      <c r="L40" s="114"/>
      <c r="M40" s="97"/>
      <c r="N40" s="114"/>
      <c r="O40" s="97"/>
      <c r="P40" s="114"/>
      <c r="Q40" s="97"/>
      <c r="R40" s="114"/>
    </row>
    <row r="41" spans="2:18" ht="15" customHeight="1">
      <c r="B41" s="104" t="s">
        <v>156</v>
      </c>
      <c r="C41" s="97">
        <v>10842157.2</v>
      </c>
      <c r="D41" s="108">
        <f>C41/C49*100</f>
        <v>3.4715671843429283</v>
      </c>
      <c r="E41" s="97">
        <v>11257708.8</v>
      </c>
      <c r="F41" s="108">
        <f>E41/E49*100</f>
        <v>3.096357078606386</v>
      </c>
      <c r="G41" s="97">
        <v>11539720.3</v>
      </c>
      <c r="H41" s="108">
        <f aca="true" t="shared" si="12" ref="H41:H49">G41/$G$49*100</f>
        <v>2.8087160918853176</v>
      </c>
      <c r="I41" s="97">
        <v>12278732.9</v>
      </c>
      <c r="J41" s="108">
        <f aca="true" t="shared" si="13" ref="J41:J49">I41/$I$49*100</f>
        <v>2.6597144223709988</v>
      </c>
      <c r="K41" s="97">
        <v>13061904.2</v>
      </c>
      <c r="L41" s="114">
        <f aca="true" t="shared" si="14" ref="L41:L49">K41/$K$49*100</f>
        <v>2.5104015118366108</v>
      </c>
      <c r="M41" s="97">
        <v>12941107</v>
      </c>
      <c r="N41" s="114">
        <f>M41/$M$49*100</f>
        <v>1.8638768915358488</v>
      </c>
      <c r="O41" s="97">
        <v>11007551.9</v>
      </c>
      <c r="P41" s="114">
        <f aca="true" t="shared" si="15" ref="P41:P49">O41/$O$49*100</f>
        <v>1.426901982142282</v>
      </c>
      <c r="Q41" s="97">
        <v>10882953.152</v>
      </c>
      <c r="R41" s="114">
        <f>Q41/$Q$49*100</f>
        <v>1.3228873146794757</v>
      </c>
    </row>
    <row r="42" spans="2:18" ht="15" customHeight="1">
      <c r="B42" s="104" t="s">
        <v>157</v>
      </c>
      <c r="C42" s="97">
        <v>190921063</v>
      </c>
      <c r="D42" s="108">
        <f>C42/C49*100</f>
        <v>61.13131223652326</v>
      </c>
      <c r="E42" s="97">
        <v>192392655.5</v>
      </c>
      <c r="F42" s="108">
        <f>E42/E49*100</f>
        <v>52.91630573436975</v>
      </c>
      <c r="G42" s="97">
        <v>196691287.5</v>
      </c>
      <c r="H42" s="108">
        <f t="shared" si="12"/>
        <v>47.873775964473886</v>
      </c>
      <c r="I42" s="97">
        <v>208261305.9</v>
      </c>
      <c r="J42" s="108">
        <f t="shared" si="13"/>
        <v>45.11178827939554</v>
      </c>
      <c r="K42" s="97">
        <v>236896121.7</v>
      </c>
      <c r="L42" s="114">
        <f t="shared" si="14"/>
        <v>45.52968487273928</v>
      </c>
      <c r="M42" s="97">
        <v>241634457.5</v>
      </c>
      <c r="N42" s="114">
        <f aca="true" t="shared" si="16" ref="N42:N47">M42/$M$49*100</f>
        <v>34.80203676030583</v>
      </c>
      <c r="O42" s="97">
        <v>248132894</v>
      </c>
      <c r="P42" s="114">
        <f t="shared" si="15"/>
        <v>32.16530991630398</v>
      </c>
      <c r="Q42" s="97">
        <v>252217660.469</v>
      </c>
      <c r="R42" s="114">
        <f aca="true" t="shared" si="17" ref="R42:R47">Q42/$Q$49*100</f>
        <v>30.65854818195722</v>
      </c>
    </row>
    <row r="43" spans="2:18" ht="15" customHeight="1">
      <c r="B43" s="104" t="s">
        <v>158</v>
      </c>
      <c r="C43" s="97">
        <v>391920263.8</v>
      </c>
      <c r="D43" s="108">
        <f>C43/C49*100</f>
        <v>125.48955909688375</v>
      </c>
      <c r="E43" s="97">
        <v>443802262.1</v>
      </c>
      <c r="F43" s="108">
        <f>E43/E49*100</f>
        <v>122.06482688154642</v>
      </c>
      <c r="G43" s="97">
        <v>491844316.3</v>
      </c>
      <c r="H43" s="108">
        <f t="shared" si="12"/>
        <v>119.71269753341787</v>
      </c>
      <c r="I43" s="97">
        <v>559873906.5</v>
      </c>
      <c r="J43" s="108">
        <f t="shared" si="13"/>
        <v>121.27511168739913</v>
      </c>
      <c r="K43" s="97">
        <v>609048883.1</v>
      </c>
      <c r="L43" s="114">
        <f t="shared" si="14"/>
        <v>117.05469688842452</v>
      </c>
      <c r="M43" s="97">
        <v>693756552.1</v>
      </c>
      <c r="N43" s="114">
        <f t="shared" si="16"/>
        <v>99.92010774741111</v>
      </c>
      <c r="O43" s="97">
        <v>793167475.8</v>
      </c>
      <c r="P43" s="114">
        <f t="shared" si="15"/>
        <v>102.81779760582464</v>
      </c>
      <c r="Q43" s="97">
        <v>884429551.238</v>
      </c>
      <c r="R43" s="114">
        <f t="shared" si="17"/>
        <v>107.50764224739828</v>
      </c>
    </row>
    <row r="44" spans="2:18" ht="15" customHeight="1">
      <c r="B44" s="104" t="s">
        <v>159</v>
      </c>
      <c r="C44" s="97">
        <v>1656685.5</v>
      </c>
      <c r="D44" s="108">
        <f>C44/C49*100</f>
        <v>0.5304567080596061</v>
      </c>
      <c r="E44" s="97">
        <v>1731543.4</v>
      </c>
      <c r="F44" s="108">
        <f>E44/E49*100</f>
        <v>0.47624936465794604</v>
      </c>
      <c r="G44" s="97">
        <v>1607444.9</v>
      </c>
      <c r="H44" s="108">
        <f t="shared" si="12"/>
        <v>0.3912448690328296</v>
      </c>
      <c r="I44" s="97">
        <v>1458708.9</v>
      </c>
      <c r="J44" s="108">
        <f t="shared" si="13"/>
        <v>0.31597308378382716</v>
      </c>
      <c r="K44" s="97">
        <v>526447.1</v>
      </c>
      <c r="L44" s="114">
        <f t="shared" si="14"/>
        <v>0.10117924427450627</v>
      </c>
      <c r="M44" s="97">
        <v>117812814.3</v>
      </c>
      <c r="N44" s="114">
        <f t="shared" si="16"/>
        <v>16.968299705780517</v>
      </c>
      <c r="O44" s="97">
        <v>95774035.3</v>
      </c>
      <c r="P44" s="114">
        <f t="shared" si="15"/>
        <v>12.415127545965499</v>
      </c>
      <c r="Q44" s="97">
        <v>128806586.957</v>
      </c>
      <c r="R44" s="114">
        <f t="shared" si="17"/>
        <v>15.65720237445474</v>
      </c>
    </row>
    <row r="45" spans="2:18" ht="15" customHeight="1">
      <c r="B45" s="104" t="s">
        <v>160</v>
      </c>
      <c r="C45" s="97">
        <v>3159762.5</v>
      </c>
      <c r="D45" s="108">
        <f>C45/C49*100</f>
        <v>1.0117292714882764</v>
      </c>
      <c r="E45" s="97">
        <v>3349674.4</v>
      </c>
      <c r="F45" s="108">
        <f>E45/E49*100</f>
        <v>0.9213054115830921</v>
      </c>
      <c r="G45" s="97">
        <v>-1709944.2</v>
      </c>
      <c r="H45" s="108">
        <f t="shared" si="12"/>
        <v>-0.4161927382907163</v>
      </c>
      <c r="I45" s="97">
        <v>-6451673.6</v>
      </c>
      <c r="J45" s="108">
        <f t="shared" si="13"/>
        <v>-1.3975065230346546</v>
      </c>
      <c r="K45" s="97">
        <v>3570817.7</v>
      </c>
      <c r="L45" s="114">
        <f t="shared" si="14"/>
        <v>0.6862847878315421</v>
      </c>
      <c r="M45" s="97">
        <v>7780141.7</v>
      </c>
      <c r="N45" s="114">
        <f t="shared" si="16"/>
        <v>1.120555322470051</v>
      </c>
      <c r="O45" s="97">
        <v>12671325.4</v>
      </c>
      <c r="P45" s="114">
        <f t="shared" si="15"/>
        <v>1.642575887344201</v>
      </c>
      <c r="Q45" s="97">
        <v>13488061.709</v>
      </c>
      <c r="R45" s="114">
        <f t="shared" si="17"/>
        <v>1.6395536657410825</v>
      </c>
    </row>
    <row r="46" spans="2:18" ht="15" customHeight="1">
      <c r="B46" s="104" t="s">
        <v>161</v>
      </c>
      <c r="C46" s="97">
        <v>-579659930.3</v>
      </c>
      <c r="D46" s="108">
        <f>C46/C49*100</f>
        <v>-185.60221503779607</v>
      </c>
      <c r="E46" s="97">
        <f>-625286807-1791632.2</f>
        <v>-627078439.2</v>
      </c>
      <c r="F46" s="108">
        <f>E46/E49*100</f>
        <v>-172.47370655549062</v>
      </c>
      <c r="G46" s="97">
        <v>-652240645.5</v>
      </c>
      <c r="H46" s="108">
        <f t="shared" si="12"/>
        <v>-158.75244366169923</v>
      </c>
      <c r="I46" s="97">
        <v>-729394736.3</v>
      </c>
      <c r="J46" s="108">
        <f t="shared" si="13"/>
        <v>-157.99526836670594</v>
      </c>
      <c r="K46" s="97">
        <v>-796515743.6</v>
      </c>
      <c r="L46" s="114">
        <f t="shared" si="14"/>
        <v>-153.08444284372428</v>
      </c>
      <c r="M46" s="97">
        <v>-881244862.4</v>
      </c>
      <c r="N46" s="114">
        <f t="shared" si="16"/>
        <v>-126.92360358445755</v>
      </c>
      <c r="O46" s="97">
        <v>-967223338.9</v>
      </c>
      <c r="P46" s="114">
        <f t="shared" si="15"/>
        <v>-125.38054891666566</v>
      </c>
      <c r="Q46" s="97">
        <v>-1120189385.947</v>
      </c>
      <c r="R46" s="114">
        <f t="shared" si="17"/>
        <v>-136.16564438077603</v>
      </c>
    </row>
    <row r="47" spans="2:18" ht="15" customHeight="1">
      <c r="B47" s="104" t="s">
        <v>162</v>
      </c>
      <c r="C47" s="97">
        <f>3992253+6.1</f>
        <v>3992259.1</v>
      </c>
      <c r="D47" s="108">
        <f>C47/C49*100</f>
        <v>1.278287653213</v>
      </c>
      <c r="E47" s="97">
        <v>4005005.1</v>
      </c>
      <c r="F47" s="108">
        <f>E47/E49*100</f>
        <v>1.1015497124281344</v>
      </c>
      <c r="G47" s="97">
        <v>4489255.5</v>
      </c>
      <c r="H47" s="108">
        <f t="shared" si="12"/>
        <v>1.0926646257998702</v>
      </c>
      <c r="I47" s="97">
        <v>4590496.9</v>
      </c>
      <c r="J47" s="108">
        <f t="shared" si="13"/>
        <v>0.9943542961814376</v>
      </c>
      <c r="K47" s="97">
        <v>4309066</v>
      </c>
      <c r="L47" s="114">
        <f t="shared" si="14"/>
        <v>0.8281706583794832</v>
      </c>
      <c r="M47" s="97">
        <v>4595394.1</v>
      </c>
      <c r="N47" s="114">
        <f t="shared" si="16"/>
        <v>0.6618636929970657</v>
      </c>
      <c r="O47" s="97">
        <v>4506310.2</v>
      </c>
      <c r="P47" s="114">
        <f t="shared" si="15"/>
        <v>0.5841501375549256</v>
      </c>
      <c r="Q47" s="97">
        <v>5002231.383</v>
      </c>
      <c r="R47" s="114">
        <f t="shared" si="17"/>
        <v>0.6080508065447446</v>
      </c>
    </row>
    <row r="48" spans="2:18" ht="15" customHeight="1">
      <c r="B48" s="112" t="s">
        <v>163</v>
      </c>
      <c r="C48" s="103">
        <f>SUM(C41:C47)</f>
        <v>22832260.80000005</v>
      </c>
      <c r="D48" s="113">
        <f>C48/C49*100</f>
        <v>7.310697112714763</v>
      </c>
      <c r="E48" s="103">
        <f>SUM(E41:E47)</f>
        <v>29460410.1</v>
      </c>
      <c r="F48" s="113">
        <f>E48/E49*100</f>
        <v>8.102887627701124</v>
      </c>
      <c r="G48" s="103">
        <f>SUM(G41:G47)</f>
        <v>52221434.79999995</v>
      </c>
      <c r="H48" s="113">
        <f t="shared" si="12"/>
        <v>12.710462684619817</v>
      </c>
      <c r="I48" s="103">
        <f>SUM(I41:I47)</f>
        <v>50616741.19999995</v>
      </c>
      <c r="J48" s="113">
        <f t="shared" si="13"/>
        <v>10.964166879390316</v>
      </c>
      <c r="K48" s="103">
        <f>SUM(K41:K47)</f>
        <v>70897496.20000005</v>
      </c>
      <c r="L48" s="113">
        <f t="shared" si="14"/>
        <v>13.625975119761671</v>
      </c>
      <c r="M48" s="103">
        <f>SUM(M41:M47)</f>
        <v>197275604.29999992</v>
      </c>
      <c r="N48" s="113">
        <f>M48/$M$49*100</f>
        <v>28.413136536042856</v>
      </c>
      <c r="O48" s="103">
        <f>SUM(O41:O47)</f>
        <v>198036253.7000001</v>
      </c>
      <c r="P48" s="113">
        <f t="shared" si="15"/>
        <v>25.671314158469873</v>
      </c>
      <c r="Q48" s="103">
        <f>SUM(Q41:Q47)</f>
        <v>174637658.96100006</v>
      </c>
      <c r="R48" s="113">
        <f>Q48/$Q$49*100</f>
        <v>21.228240209999523</v>
      </c>
    </row>
    <row r="49" spans="2:18" ht="15" customHeight="1">
      <c r="B49" s="112" t="s">
        <v>164</v>
      </c>
      <c r="C49" s="103">
        <f>SUM(C39+C48)</f>
        <v>312313045.50000006</v>
      </c>
      <c r="D49" s="113">
        <f>C49/C49*100</f>
        <v>100</v>
      </c>
      <c r="E49" s="103">
        <f>SUM(E39+E48)</f>
        <v>363579151.7</v>
      </c>
      <c r="F49" s="113">
        <f>E49/E49*100</f>
        <v>100</v>
      </c>
      <c r="G49" s="103">
        <f>SUM(G39+G48)</f>
        <v>410853924.79999995</v>
      </c>
      <c r="H49" s="113">
        <f t="shared" si="12"/>
        <v>100</v>
      </c>
      <c r="I49" s="103">
        <f>SUM(I39+I48)</f>
        <v>461656063.3999999</v>
      </c>
      <c r="J49" s="113">
        <f t="shared" si="13"/>
        <v>100</v>
      </c>
      <c r="K49" s="103">
        <f>SUM(K39+K48)</f>
        <v>520311358.09999996</v>
      </c>
      <c r="L49" s="113">
        <f t="shared" si="14"/>
        <v>100</v>
      </c>
      <c r="M49" s="103">
        <f>SUM(M39,M48)</f>
        <v>694311252.9999999</v>
      </c>
      <c r="N49" s="113">
        <f>M49/$M$49*100</f>
        <v>100</v>
      </c>
      <c r="O49" s="103">
        <f>SUM(O39,O48)</f>
        <v>771430135.9000001</v>
      </c>
      <c r="P49" s="113">
        <f t="shared" si="15"/>
        <v>100</v>
      </c>
      <c r="Q49" s="103">
        <f>SUM(Q39,Q48)</f>
        <v>822666680.014</v>
      </c>
      <c r="R49" s="113">
        <f>Q49/$Q$49*100</f>
        <v>100</v>
      </c>
    </row>
    <row r="55" spans="15:17" ht="12.75">
      <c r="O55" s="173"/>
      <c r="Q55" s="173"/>
    </row>
    <row r="58" ht="12.75">
      <c r="E58" s="168"/>
    </row>
    <row r="60" ht="12.75">
      <c r="C60" s="168"/>
    </row>
  </sheetData>
  <sheetProtection/>
  <mergeCells count="12">
    <mergeCell ref="B7:B8"/>
    <mergeCell ref="C7:D7"/>
    <mergeCell ref="E7:F7"/>
    <mergeCell ref="G7:H7"/>
    <mergeCell ref="I7:J7"/>
    <mergeCell ref="Q7:R7"/>
    <mergeCell ref="B2:R2"/>
    <mergeCell ref="B3:R3"/>
    <mergeCell ref="B4:R4"/>
    <mergeCell ref="O7:P7"/>
    <mergeCell ref="K7:L7"/>
    <mergeCell ref="M7:N7"/>
  </mergeCells>
  <printOptions/>
  <pageMargins left="0.7" right="0.7" top="0.75" bottom="0.75" header="0.3" footer="0.3"/>
  <pageSetup horizontalDpi="600" verticalDpi="600" orientation="portrait" paperSize="9" r:id="rId3"/>
  <ignoredErrors>
    <ignoredError sqref="E22 D24:Q24 D39:P39 D38 F38:P38 E46 D48:P49 Q38:Q39 Q49" formula="1"/>
    <ignoredError sqref="E38" formula="1" formulaRange="1"/>
    <ignoredError sqref="C7:R7" numberStoredAsText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C3:L59"/>
  <sheetViews>
    <sheetView showGridLines="0" tabSelected="1" zoomScale="80" zoomScaleNormal="80" zoomScalePageLayoutView="0" workbookViewId="0" topLeftCell="A1">
      <selection activeCell="E13" sqref="E13"/>
    </sheetView>
  </sheetViews>
  <sheetFormatPr defaultColWidth="11.421875" defaultRowHeight="12.75"/>
  <cols>
    <col min="1" max="1" width="7.28125" style="0" customWidth="1"/>
    <col min="2" max="2" width="3.421875" style="0" customWidth="1"/>
    <col min="3" max="3" width="45.57421875" style="0" customWidth="1"/>
    <col min="4" max="9" width="15.00390625" style="0" bestFit="1" customWidth="1"/>
    <col min="10" max="11" width="15.00390625" style="0" customWidth="1"/>
  </cols>
  <sheetData>
    <row r="3" spans="3:11" ht="15.75">
      <c r="C3" s="237" t="s">
        <v>13</v>
      </c>
      <c r="D3" s="237"/>
      <c r="E3" s="237"/>
      <c r="F3" s="237"/>
      <c r="G3" s="237"/>
      <c r="H3" s="237"/>
      <c r="I3" s="237"/>
      <c r="J3" s="237"/>
      <c r="K3" s="237"/>
    </row>
    <row r="4" spans="3:11" ht="15.75">
      <c r="C4" s="237" t="s">
        <v>165</v>
      </c>
      <c r="D4" s="237"/>
      <c r="E4" s="237"/>
      <c r="F4" s="237"/>
      <c r="G4" s="237"/>
      <c r="H4" s="237"/>
      <c r="I4" s="237"/>
      <c r="J4" s="237"/>
      <c r="K4" s="237"/>
    </row>
    <row r="5" spans="3:11" ht="15.75">
      <c r="C5" s="237" t="s">
        <v>241</v>
      </c>
      <c r="D5" s="237"/>
      <c r="E5" s="237"/>
      <c r="F5" s="237"/>
      <c r="G5" s="237"/>
      <c r="H5" s="237"/>
      <c r="I5" s="237"/>
      <c r="J5" s="237"/>
      <c r="K5" s="237"/>
    </row>
    <row r="6" spans="3:11" ht="5.25" customHeight="1">
      <c r="C6" s="200"/>
      <c r="D6" s="200"/>
      <c r="E6" s="200"/>
      <c r="F6" s="200"/>
      <c r="G6" s="200"/>
      <c r="H6" s="200"/>
      <c r="I6" s="200"/>
      <c r="J6" s="200"/>
      <c r="K6" s="200"/>
    </row>
    <row r="7" spans="3:11" ht="12.75">
      <c r="C7" s="238"/>
      <c r="D7" s="238"/>
      <c r="E7" s="238"/>
      <c r="F7" s="238"/>
      <c r="G7" s="238"/>
      <c r="H7" s="238"/>
      <c r="I7" s="238"/>
      <c r="J7" s="162"/>
      <c r="K7" s="192"/>
    </row>
    <row r="8" spans="3:11" ht="12.75" customHeight="1">
      <c r="C8" s="236" t="s">
        <v>103</v>
      </c>
      <c r="D8" s="236">
        <v>2009</v>
      </c>
      <c r="E8" s="236">
        <v>2010</v>
      </c>
      <c r="F8" s="236">
        <v>2011</v>
      </c>
      <c r="G8" s="236">
        <v>2012</v>
      </c>
      <c r="H8" s="236">
        <v>2013</v>
      </c>
      <c r="I8" s="236">
        <v>2014</v>
      </c>
      <c r="J8" s="236">
        <v>2015</v>
      </c>
      <c r="K8" s="236">
        <v>2016</v>
      </c>
    </row>
    <row r="9" spans="3:11" ht="12.75" customHeight="1">
      <c r="C9" s="239"/>
      <c r="D9" s="236"/>
      <c r="E9" s="236"/>
      <c r="F9" s="236"/>
      <c r="G9" s="236"/>
      <c r="H9" s="236"/>
      <c r="I9" s="236"/>
      <c r="J9" s="236"/>
      <c r="K9" s="236"/>
    </row>
    <row r="10" spans="3:11" ht="15">
      <c r="C10" s="115"/>
      <c r="D10" s="115"/>
      <c r="E10" s="115"/>
      <c r="F10" s="115"/>
      <c r="G10" s="115"/>
      <c r="H10" s="115"/>
      <c r="I10" s="115"/>
      <c r="J10" s="115"/>
      <c r="K10" s="115"/>
    </row>
    <row r="11" spans="3:11" ht="18.75" customHeight="1">
      <c r="C11" s="118" t="s">
        <v>15</v>
      </c>
      <c r="D11" s="118"/>
      <c r="E11" s="118"/>
      <c r="F11" s="118"/>
      <c r="G11" s="118"/>
      <c r="H11" s="118"/>
      <c r="I11" s="119"/>
      <c r="J11" s="194"/>
      <c r="K11" s="119"/>
    </row>
    <row r="12" spans="3:11" ht="18.75" customHeight="1">
      <c r="C12" s="120"/>
      <c r="D12" s="121"/>
      <c r="E12" s="121"/>
      <c r="F12" s="121"/>
      <c r="G12" s="121"/>
      <c r="H12" s="116"/>
      <c r="I12" s="116"/>
      <c r="J12" s="116"/>
      <c r="K12" s="117"/>
    </row>
    <row r="13" spans="3:12" ht="18.75" customHeight="1">
      <c r="C13" s="122" t="s">
        <v>166</v>
      </c>
      <c r="D13" s="124">
        <v>57069530.9</v>
      </c>
      <c r="E13" s="124">
        <v>68129258.6</v>
      </c>
      <c r="F13" s="124">
        <v>81028222.2</v>
      </c>
      <c r="G13" s="124">
        <v>93283280</v>
      </c>
      <c r="H13" s="124">
        <v>104850925.9</v>
      </c>
      <c r="I13" s="124">
        <v>106713594.6</v>
      </c>
      <c r="J13" s="124">
        <v>102303845.8</v>
      </c>
      <c r="K13" s="125">
        <v>102681043.6</v>
      </c>
      <c r="L13" s="168"/>
    </row>
    <row r="14" spans="3:12" ht="18.75" customHeight="1">
      <c r="C14" s="122" t="s">
        <v>167</v>
      </c>
      <c r="D14" s="124">
        <v>28635661</v>
      </c>
      <c r="E14" s="124">
        <v>32361131.6</v>
      </c>
      <c r="F14" s="124">
        <v>39004847.8</v>
      </c>
      <c r="G14" s="124">
        <v>40433699.2</v>
      </c>
      <c r="H14" s="124">
        <v>41803792.8</v>
      </c>
      <c r="I14" s="124">
        <v>45703249.4</v>
      </c>
      <c r="J14" s="124">
        <v>42060331.1</v>
      </c>
      <c r="K14" s="125">
        <v>46223993.6</v>
      </c>
      <c r="L14" s="49"/>
    </row>
    <row r="15" spans="3:12" ht="18.75" customHeight="1">
      <c r="C15" s="122" t="s">
        <v>168</v>
      </c>
      <c r="D15" s="123"/>
      <c r="E15" s="124"/>
      <c r="F15" s="123"/>
      <c r="G15" s="123"/>
      <c r="H15" s="124">
        <v>362348.5</v>
      </c>
      <c r="I15" s="124"/>
      <c r="J15" s="124"/>
      <c r="K15" s="125"/>
      <c r="L15" s="49"/>
    </row>
    <row r="16" spans="3:12" ht="18.75" customHeight="1">
      <c r="C16" s="122" t="s">
        <v>236</v>
      </c>
      <c r="D16" s="124">
        <v>2763697.1</v>
      </c>
      <c r="E16" s="124">
        <v>2151484.5</v>
      </c>
      <c r="F16" s="124">
        <v>2499457.3</v>
      </c>
      <c r="G16" s="124">
        <v>2784148</v>
      </c>
      <c r="H16" s="124">
        <v>11561367</v>
      </c>
      <c r="I16" s="124">
        <v>12798341.5</v>
      </c>
      <c r="J16" s="124">
        <v>16396942.7</v>
      </c>
      <c r="K16" s="125">
        <v>30590459.7</v>
      </c>
      <c r="L16" s="49"/>
    </row>
    <row r="17" spans="3:12" ht="18.75" customHeight="1">
      <c r="C17" s="122" t="s">
        <v>47</v>
      </c>
      <c r="D17" s="124">
        <v>41029345.2</v>
      </c>
      <c r="E17" s="124">
        <v>36414932.4</v>
      </c>
      <c r="F17" s="124">
        <v>48716162.6</v>
      </c>
      <c r="G17" s="124">
        <v>32056616.3</v>
      </c>
      <c r="H17" s="124">
        <v>74353743.4</v>
      </c>
      <c r="I17" s="124">
        <v>15187848.1</v>
      </c>
      <c r="J17" s="124">
        <v>21543013.8</v>
      </c>
      <c r="K17" s="125">
        <v>34260829.8</v>
      </c>
      <c r="L17" s="49"/>
    </row>
    <row r="18" spans="3:12" ht="21.75" customHeight="1">
      <c r="C18" s="122" t="s">
        <v>169</v>
      </c>
      <c r="D18" s="124">
        <v>2307494.3</v>
      </c>
      <c r="E18" s="124">
        <v>4894484.1</v>
      </c>
      <c r="F18" s="124">
        <v>2493084.6</v>
      </c>
      <c r="G18" s="124">
        <v>859399.6</v>
      </c>
      <c r="H18" s="124">
        <v>724848.5</v>
      </c>
      <c r="I18" s="124">
        <v>1347297</v>
      </c>
      <c r="J18" s="124">
        <v>1334902.3</v>
      </c>
      <c r="K18" s="125">
        <v>9197600.8</v>
      </c>
      <c r="L18" s="49"/>
    </row>
    <row r="19" spans="3:12" ht="18.75" customHeight="1">
      <c r="C19" s="126" t="s">
        <v>170</v>
      </c>
      <c r="D19" s="127">
        <f aca="true" t="shared" si="0" ref="D19:J19">SUM(D13:D18)</f>
        <v>131805728.5</v>
      </c>
      <c r="E19" s="127">
        <f t="shared" si="0"/>
        <v>143951291.2</v>
      </c>
      <c r="F19" s="127">
        <f t="shared" si="0"/>
        <v>173741774.5</v>
      </c>
      <c r="G19" s="127">
        <f t="shared" si="0"/>
        <v>169417143.1</v>
      </c>
      <c r="H19" s="163">
        <f t="shared" si="0"/>
        <v>233657026.1</v>
      </c>
      <c r="I19" s="127">
        <f t="shared" si="0"/>
        <v>181750330.6</v>
      </c>
      <c r="J19" s="195">
        <f t="shared" si="0"/>
        <v>183639035.70000002</v>
      </c>
      <c r="K19" s="127">
        <f>SUM(K13:K18)</f>
        <v>222953927.5</v>
      </c>
      <c r="L19" s="168"/>
    </row>
    <row r="20" spans="3:11" ht="18.75" customHeight="1">
      <c r="C20" s="128" t="s">
        <v>171</v>
      </c>
      <c r="D20" s="129"/>
      <c r="E20" s="130"/>
      <c r="F20" s="130"/>
      <c r="G20" s="130"/>
      <c r="H20" s="164"/>
      <c r="I20" s="116"/>
      <c r="J20" s="116"/>
      <c r="K20" s="117"/>
    </row>
    <row r="21" spans="3:11" ht="18.75" customHeight="1">
      <c r="C21" s="131" t="s">
        <v>172</v>
      </c>
      <c r="D21" s="124">
        <v>-13312712.9</v>
      </c>
      <c r="E21" s="124">
        <v>-16793128.4</v>
      </c>
      <c r="F21" s="124">
        <v>-18500896.3</v>
      </c>
      <c r="G21" s="124">
        <v>-20575085.5</v>
      </c>
      <c r="H21" s="124">
        <v>-24341983.9</v>
      </c>
      <c r="I21" s="124">
        <v>-24396471</v>
      </c>
      <c r="J21" s="124">
        <v>-18503732.7</v>
      </c>
      <c r="K21" s="125">
        <v>-24638239.1</v>
      </c>
    </row>
    <row r="22" spans="3:11" ht="18.75" customHeight="1">
      <c r="C22" s="131" t="s">
        <v>173</v>
      </c>
      <c r="D22" s="124">
        <v>-860324</v>
      </c>
      <c r="E22" s="124">
        <v>-835338.5</v>
      </c>
      <c r="F22" s="124">
        <v>-876797.9</v>
      </c>
      <c r="G22" s="124">
        <v>-1061037.5</v>
      </c>
      <c r="H22" s="124">
        <v>-15485085.1</v>
      </c>
      <c r="I22" s="124">
        <v>-15909244.3</v>
      </c>
      <c r="J22" s="124">
        <v>-20706718.9</v>
      </c>
      <c r="K22" s="125">
        <v>-30974288.3</v>
      </c>
    </row>
    <row r="23" spans="3:11" ht="18.75" customHeight="1">
      <c r="C23" s="131" t="s">
        <v>174</v>
      </c>
      <c r="D23" s="124">
        <v>-734979.3</v>
      </c>
      <c r="E23" s="124">
        <v>-842224.4</v>
      </c>
      <c r="F23" s="124">
        <v>-957614.9</v>
      </c>
      <c r="G23" s="124">
        <v>-1286032.4</v>
      </c>
      <c r="H23" s="124">
        <v>-1111341.1</v>
      </c>
      <c r="I23" s="124">
        <v>-1146678.9</v>
      </c>
      <c r="J23" s="124">
        <v>-1277068.1</v>
      </c>
      <c r="K23" s="125">
        <v>-1438653.2</v>
      </c>
    </row>
    <row r="24" spans="3:11" ht="18.75" customHeight="1">
      <c r="C24" s="131" t="s">
        <v>175</v>
      </c>
      <c r="D24" s="124">
        <v>-21218301.5</v>
      </c>
      <c r="E24" s="124">
        <v>-8988695</v>
      </c>
      <c r="F24" s="124">
        <v>-9538895.6</v>
      </c>
      <c r="G24" s="124">
        <v>-10026094.9</v>
      </c>
      <c r="H24" s="124">
        <v>-11894787.9</v>
      </c>
      <c r="I24" s="124">
        <v>-13919212.8</v>
      </c>
      <c r="J24" s="124">
        <v>-15915799.6</v>
      </c>
      <c r="K24" s="125">
        <v>-17971644.1</v>
      </c>
    </row>
    <row r="25" spans="3:11" ht="18.75" customHeight="1">
      <c r="C25" s="131" t="s">
        <v>176</v>
      </c>
      <c r="D25" s="123"/>
      <c r="E25" s="124">
        <v>-14822961</v>
      </c>
      <c r="F25" s="124">
        <v>-17113143.4</v>
      </c>
      <c r="G25" s="124">
        <v>-19650535.9</v>
      </c>
      <c r="H25" s="124">
        <v>-22298957.2</v>
      </c>
      <c r="I25" s="124">
        <v>-25830081.1</v>
      </c>
      <c r="J25" s="124">
        <v>-28920754.5</v>
      </c>
      <c r="K25" s="125">
        <v>-32105008.6</v>
      </c>
    </row>
    <row r="26" spans="3:11" ht="18.75" customHeight="1">
      <c r="C26" s="131" t="s">
        <v>177</v>
      </c>
      <c r="D26" s="124">
        <v>-19939330.1</v>
      </c>
      <c r="E26" s="124">
        <v>-20915689.7</v>
      </c>
      <c r="F26" s="124">
        <v>-22712558.8</v>
      </c>
      <c r="G26" s="124">
        <v>-46787218.8</v>
      </c>
      <c r="H26" s="124">
        <v>-43104574.7</v>
      </c>
      <c r="I26" s="124">
        <v>-53008524.1</v>
      </c>
      <c r="J26" s="124">
        <v>-46873325.7</v>
      </c>
      <c r="K26" s="125">
        <v>-51679655.8</v>
      </c>
    </row>
    <row r="27" spans="3:11" ht="18.75" customHeight="1">
      <c r="C27" s="131" t="s">
        <v>178</v>
      </c>
      <c r="D27" s="124">
        <v>-3872662.5</v>
      </c>
      <c r="E27" s="124">
        <v>-4220804.2</v>
      </c>
      <c r="F27" s="124">
        <v>-4670680.2</v>
      </c>
      <c r="G27" s="124">
        <v>-4579157.6</v>
      </c>
      <c r="H27" s="124">
        <v>-4193052.3</v>
      </c>
      <c r="I27" s="124">
        <v>-4727981</v>
      </c>
      <c r="J27" s="124">
        <v>-4580352.2</v>
      </c>
      <c r="K27" s="125">
        <v>-6868211.6</v>
      </c>
    </row>
    <row r="28" spans="3:11" ht="18.75" customHeight="1">
      <c r="C28" s="131" t="s">
        <v>179</v>
      </c>
      <c r="D28" s="124">
        <v>-160977.3</v>
      </c>
      <c r="E28" s="124">
        <v>-3283015.6</v>
      </c>
      <c r="F28" s="124">
        <v>-1778465.6</v>
      </c>
      <c r="G28" s="124">
        <v>-1250528.9</v>
      </c>
      <c r="H28" s="124">
        <v>-1645110.8</v>
      </c>
      <c r="I28" s="124">
        <v>-2632681.3</v>
      </c>
      <c r="J28" s="124">
        <v>-3486025.4</v>
      </c>
      <c r="K28" s="125">
        <v>-10360584</v>
      </c>
    </row>
    <row r="29" spans="3:11" ht="18.75" customHeight="1">
      <c r="C29" s="131" t="s">
        <v>180</v>
      </c>
      <c r="D29" s="124">
        <v>-46092563.5</v>
      </c>
      <c r="E29" s="124">
        <v>-46957882.4</v>
      </c>
      <c r="F29" s="124">
        <v>-45407043.7</v>
      </c>
      <c r="G29" s="124">
        <v>-31469137.8</v>
      </c>
      <c r="H29" s="124">
        <v>-81543234.3</v>
      </c>
      <c r="I29" s="124">
        <v>-16929602.9</v>
      </c>
      <c r="J29" s="124">
        <v>-18664696.8</v>
      </c>
      <c r="K29" s="125">
        <v>-17736168</v>
      </c>
    </row>
    <row r="30" spans="3:11" ht="18.75" customHeight="1">
      <c r="C30" s="131" t="s">
        <v>63</v>
      </c>
      <c r="D30" s="124">
        <v>-16486794.9</v>
      </c>
      <c r="E30" s="124">
        <v>-15256420.7</v>
      </c>
      <c r="F30" s="124">
        <v>-12408581</v>
      </c>
      <c r="G30" s="124">
        <v>-11965379.7</v>
      </c>
      <c r="H30" s="124">
        <v>-8022586.7</v>
      </c>
      <c r="I30" s="124">
        <v>-10295381.3</v>
      </c>
      <c r="J30" s="124">
        <v>-13219797.7</v>
      </c>
      <c r="K30" s="125">
        <v>-16318134.6</v>
      </c>
    </row>
    <row r="31" spans="3:11" ht="15">
      <c r="C31" s="126" t="s">
        <v>181</v>
      </c>
      <c r="D31" s="132">
        <f aca="true" t="shared" si="1" ref="D31:J31">SUM(D21:D30)</f>
        <v>-122678646</v>
      </c>
      <c r="E31" s="132">
        <f t="shared" si="1"/>
        <v>-132916159.89999999</v>
      </c>
      <c r="F31" s="132">
        <f t="shared" si="1"/>
        <v>-133964677.39999999</v>
      </c>
      <c r="G31" s="132">
        <f t="shared" si="1"/>
        <v>-148650209</v>
      </c>
      <c r="H31" s="165">
        <f t="shared" si="1"/>
        <v>-213640714</v>
      </c>
      <c r="I31" s="132">
        <f t="shared" si="1"/>
        <v>-168795858.70000002</v>
      </c>
      <c r="J31" s="196">
        <f t="shared" si="1"/>
        <v>-172148271.6</v>
      </c>
      <c r="K31" s="132">
        <f>SUM(K21:K30)</f>
        <v>-210090587.3</v>
      </c>
    </row>
    <row r="32" spans="3:11" ht="15">
      <c r="C32" s="126" t="s">
        <v>182</v>
      </c>
      <c r="D32" s="132">
        <f aca="true" t="shared" si="2" ref="D32:J32">SUM(D19+D31)</f>
        <v>9127082.5</v>
      </c>
      <c r="E32" s="132">
        <f t="shared" si="2"/>
        <v>11035131.299999997</v>
      </c>
      <c r="F32" s="132">
        <f t="shared" si="2"/>
        <v>39777097.10000001</v>
      </c>
      <c r="G32" s="132">
        <f t="shared" si="2"/>
        <v>20766934.099999994</v>
      </c>
      <c r="H32" s="165">
        <f t="shared" si="2"/>
        <v>20016312.099999994</v>
      </c>
      <c r="I32" s="133">
        <f t="shared" si="2"/>
        <v>12954471.899999976</v>
      </c>
      <c r="J32" s="197">
        <f t="shared" si="2"/>
        <v>11490764.100000024</v>
      </c>
      <c r="K32" s="133">
        <f>SUM(K19+K31)</f>
        <v>12863340.199999988</v>
      </c>
    </row>
    <row r="33" spans="3:11" ht="21" customHeight="1">
      <c r="C33" s="128" t="s">
        <v>183</v>
      </c>
      <c r="D33" s="123"/>
      <c r="E33" s="123"/>
      <c r="F33" s="123"/>
      <c r="G33" s="123"/>
      <c r="H33" s="116"/>
      <c r="I33" s="116"/>
      <c r="J33" s="116"/>
      <c r="K33" s="117"/>
    </row>
    <row r="34" spans="3:11" ht="30.75" customHeight="1">
      <c r="C34" s="134" t="s">
        <v>184</v>
      </c>
      <c r="D34" s="123"/>
      <c r="E34" s="123"/>
      <c r="F34" s="123"/>
      <c r="G34" s="123"/>
      <c r="H34" s="124">
        <v>22083.4</v>
      </c>
      <c r="I34" s="124">
        <v>37487.4</v>
      </c>
      <c r="J34" s="124">
        <v>-33007.3</v>
      </c>
      <c r="K34" s="125">
        <v>17030.1</v>
      </c>
    </row>
    <row r="35" spans="3:11" ht="22.5" customHeight="1">
      <c r="C35" s="131" t="s">
        <v>185</v>
      </c>
      <c r="D35" s="123"/>
      <c r="E35" s="123"/>
      <c r="F35" s="123"/>
      <c r="G35" s="124">
        <v>-578.7</v>
      </c>
      <c r="H35" s="124">
        <v>29.7</v>
      </c>
      <c r="I35" s="124">
        <v>93.5</v>
      </c>
      <c r="J35" s="124">
        <v>117.2</v>
      </c>
      <c r="K35" s="125">
        <v>-275.7</v>
      </c>
    </row>
    <row r="36" spans="3:11" ht="22.5" customHeight="1">
      <c r="C36" s="131" t="s">
        <v>186</v>
      </c>
      <c r="D36" s="124">
        <v>17800.2</v>
      </c>
      <c r="E36" s="123"/>
      <c r="F36" s="123"/>
      <c r="G36" s="123"/>
      <c r="H36" s="124">
        <v>891</v>
      </c>
      <c r="I36" s="124"/>
      <c r="J36" s="124">
        <v>-69.8</v>
      </c>
      <c r="K36" s="125">
        <v>-288.3</v>
      </c>
    </row>
    <row r="37" spans="3:11" ht="21.75" customHeight="1">
      <c r="C37" s="135" t="s">
        <v>187</v>
      </c>
      <c r="D37" s="136">
        <f aca="true" t="shared" si="3" ref="D37:J37">SUM(D34:D36)</f>
        <v>17800.2</v>
      </c>
      <c r="E37" s="136">
        <f t="shared" si="3"/>
        <v>0</v>
      </c>
      <c r="F37" s="136">
        <f t="shared" si="3"/>
        <v>0</v>
      </c>
      <c r="G37" s="136">
        <f t="shared" si="3"/>
        <v>-578.7</v>
      </c>
      <c r="H37" s="166">
        <f t="shared" si="3"/>
        <v>23004.100000000002</v>
      </c>
      <c r="I37" s="137">
        <f t="shared" si="3"/>
        <v>37580.9</v>
      </c>
      <c r="J37" s="198">
        <f t="shared" si="3"/>
        <v>-32959.90000000001</v>
      </c>
      <c r="K37" s="137">
        <f>SUM(K34:K36)</f>
        <v>16466.1</v>
      </c>
    </row>
    <row r="38" spans="3:11" ht="20.25" customHeight="1">
      <c r="C38" s="134" t="s">
        <v>188</v>
      </c>
      <c r="D38" s="123"/>
      <c r="E38" s="123"/>
      <c r="F38" s="123"/>
      <c r="G38" s="138">
        <v>-852767.6</v>
      </c>
      <c r="H38" s="138">
        <v>-797843.4</v>
      </c>
      <c r="I38" s="138">
        <v>-688777.1</v>
      </c>
      <c r="J38" s="138">
        <v>-994550.8</v>
      </c>
      <c r="K38" s="139">
        <v>-1303764.3</v>
      </c>
    </row>
    <row r="39" spans="3:11" ht="24" customHeight="1">
      <c r="C39" s="140" t="s">
        <v>189</v>
      </c>
      <c r="D39" s="136">
        <f aca="true" t="shared" si="4" ref="D39:J39">SUM(D32+D37+D38)</f>
        <v>9144882.7</v>
      </c>
      <c r="E39" s="136">
        <f t="shared" si="4"/>
        <v>11035131.299999997</v>
      </c>
      <c r="F39" s="136">
        <f t="shared" si="4"/>
        <v>39777097.10000001</v>
      </c>
      <c r="G39" s="136">
        <f t="shared" si="4"/>
        <v>19913587.799999993</v>
      </c>
      <c r="H39" s="166">
        <f t="shared" si="4"/>
        <v>19241472.799999997</v>
      </c>
      <c r="I39" s="136">
        <f t="shared" si="4"/>
        <v>12303275.699999977</v>
      </c>
      <c r="J39" s="199">
        <f t="shared" si="4"/>
        <v>10463253.400000023</v>
      </c>
      <c r="K39" s="136">
        <f>SUM(K32+K37+K38)</f>
        <v>11576041.999999987</v>
      </c>
    </row>
    <row r="40" spans="3:11" ht="18.75" customHeight="1">
      <c r="C40" s="134" t="s">
        <v>190</v>
      </c>
      <c r="D40" s="138">
        <v>692690.2</v>
      </c>
      <c r="E40" s="138">
        <v>324158.4</v>
      </c>
      <c r="F40" s="138">
        <v>305291.9</v>
      </c>
      <c r="G40" s="138">
        <v>635264.1</v>
      </c>
      <c r="H40" s="138">
        <v>837309.4</v>
      </c>
      <c r="I40" s="138">
        <v>764783.9</v>
      </c>
      <c r="J40" s="138">
        <v>922274.1</v>
      </c>
      <c r="K40" s="139">
        <v>921462.2</v>
      </c>
    </row>
    <row r="41" spans="3:11" ht="18.75" customHeight="1">
      <c r="C41" s="134" t="s">
        <v>162</v>
      </c>
      <c r="D41" s="138">
        <v>613879.9</v>
      </c>
      <c r="E41" s="138">
        <v>593034.4</v>
      </c>
      <c r="F41" s="138">
        <v>720891.6</v>
      </c>
      <c r="G41" s="138">
        <v>980635.7</v>
      </c>
      <c r="H41" s="138">
        <v>869476.9</v>
      </c>
      <c r="I41" s="138">
        <v>1137601.7</v>
      </c>
      <c r="J41" s="138">
        <v>1101433.9</v>
      </c>
      <c r="K41" s="139">
        <v>1201194</v>
      </c>
    </row>
    <row r="42" spans="3:11" ht="18.75" customHeight="1">
      <c r="C42" s="128" t="s">
        <v>191</v>
      </c>
      <c r="D42" s="123"/>
      <c r="E42" s="123"/>
      <c r="F42" s="123"/>
      <c r="G42" s="123"/>
      <c r="H42" s="138"/>
      <c r="I42" s="138"/>
      <c r="J42" s="138"/>
      <c r="K42" s="139"/>
    </row>
    <row r="43" spans="3:11" ht="30">
      <c r="C43" s="134" t="s">
        <v>192</v>
      </c>
      <c r="D43" s="123"/>
      <c r="E43" s="123"/>
      <c r="F43" s="123"/>
      <c r="G43" s="138">
        <v>-553.8</v>
      </c>
      <c r="H43" s="138"/>
      <c r="I43" s="138">
        <v>-4701</v>
      </c>
      <c r="J43" s="138"/>
      <c r="K43" s="139"/>
    </row>
    <row r="44" spans="3:11" ht="30">
      <c r="C44" s="134" t="s">
        <v>193</v>
      </c>
      <c r="D44" s="123"/>
      <c r="E44" s="123"/>
      <c r="F44" s="123"/>
      <c r="G44" s="138">
        <v>-85.4</v>
      </c>
      <c r="H44" s="138">
        <v>-2541.3</v>
      </c>
      <c r="I44" s="138">
        <v>-337.9</v>
      </c>
      <c r="J44" s="138">
        <v>277</v>
      </c>
      <c r="K44" s="139">
        <v>1333.6</v>
      </c>
    </row>
    <row r="45" spans="3:11" ht="18" customHeight="1">
      <c r="C45" s="134" t="s">
        <v>194</v>
      </c>
      <c r="D45" s="141"/>
      <c r="E45" s="141"/>
      <c r="F45" s="141"/>
      <c r="G45" s="138">
        <v>-82303.1</v>
      </c>
      <c r="H45" s="138">
        <v>-1413765.7</v>
      </c>
      <c r="I45" s="138">
        <v>366524.3</v>
      </c>
      <c r="J45" s="138">
        <v>-317555.4</v>
      </c>
      <c r="K45" s="139">
        <v>731361.1</v>
      </c>
    </row>
    <row r="46" spans="3:11" ht="15">
      <c r="C46" s="135" t="s">
        <v>195</v>
      </c>
      <c r="D46" s="137">
        <f aca="true" t="shared" si="5" ref="D46:J46">SUM(D43:D45)</f>
        <v>0</v>
      </c>
      <c r="E46" s="137">
        <f t="shared" si="5"/>
        <v>0</v>
      </c>
      <c r="F46" s="137">
        <f t="shared" si="5"/>
        <v>0</v>
      </c>
      <c r="G46" s="136">
        <f t="shared" si="5"/>
        <v>-82942.3</v>
      </c>
      <c r="H46" s="166">
        <f t="shared" si="5"/>
        <v>-1416307</v>
      </c>
      <c r="I46" s="137">
        <f t="shared" si="5"/>
        <v>361485.39999999997</v>
      </c>
      <c r="J46" s="198">
        <f t="shared" si="5"/>
        <v>-317278.4</v>
      </c>
      <c r="K46" s="137">
        <f>SUM(K43:K45)</f>
        <v>732694.7</v>
      </c>
    </row>
    <row r="47" spans="3:11" ht="30">
      <c r="C47" s="128" t="s">
        <v>196</v>
      </c>
      <c r="D47" s="116"/>
      <c r="E47" s="116"/>
      <c r="F47" s="116"/>
      <c r="G47" s="116"/>
      <c r="H47" s="138"/>
      <c r="I47" s="138"/>
      <c r="J47" s="138"/>
      <c r="K47" s="139"/>
    </row>
    <row r="48" spans="3:11" ht="30">
      <c r="C48" s="134" t="s">
        <v>197</v>
      </c>
      <c r="D48" s="116"/>
      <c r="E48" s="116"/>
      <c r="F48" s="116"/>
      <c r="G48" s="138">
        <v>-460.9</v>
      </c>
      <c r="H48" s="138">
        <v>762.4</v>
      </c>
      <c r="I48" s="138">
        <v>101.4</v>
      </c>
      <c r="J48" s="138"/>
      <c r="K48" s="139"/>
    </row>
    <row r="49" spans="3:11" ht="15">
      <c r="C49" s="134" t="s">
        <v>194</v>
      </c>
      <c r="D49" s="116"/>
      <c r="E49" s="116"/>
      <c r="F49" s="116"/>
      <c r="G49" s="116"/>
      <c r="H49" s="138">
        <v>-1070.9</v>
      </c>
      <c r="I49" s="138">
        <v>-60.6</v>
      </c>
      <c r="J49" s="138"/>
      <c r="K49" s="139">
        <v>-1252</v>
      </c>
    </row>
    <row r="50" spans="3:11" ht="30">
      <c r="C50" s="140" t="s">
        <v>198</v>
      </c>
      <c r="D50" s="136">
        <f aca="true" t="shared" si="6" ref="D50:J50">SUM(D48:D49)</f>
        <v>0</v>
      </c>
      <c r="E50" s="136">
        <f t="shared" si="6"/>
        <v>0</v>
      </c>
      <c r="F50" s="136">
        <f t="shared" si="6"/>
        <v>0</v>
      </c>
      <c r="G50" s="136">
        <f t="shared" si="6"/>
        <v>-460.9</v>
      </c>
      <c r="H50" s="166">
        <f t="shared" si="6"/>
        <v>-308.5000000000001</v>
      </c>
      <c r="I50" s="136">
        <f t="shared" si="6"/>
        <v>40.800000000000004</v>
      </c>
      <c r="J50" s="199">
        <f t="shared" si="6"/>
        <v>0</v>
      </c>
      <c r="K50" s="136">
        <f>SUM(K48:K49)</f>
        <v>-1252</v>
      </c>
    </row>
    <row r="51" spans="3:11" ht="15">
      <c r="C51" s="134" t="s">
        <v>199</v>
      </c>
      <c r="D51" s="116"/>
      <c r="E51" s="116"/>
      <c r="F51" s="116"/>
      <c r="G51" s="138">
        <v>21.8</v>
      </c>
      <c r="H51" s="116">
        <v>70.3</v>
      </c>
      <c r="I51" s="116">
        <v>818.1</v>
      </c>
      <c r="J51" s="138">
        <v>-3713</v>
      </c>
      <c r="K51" s="139"/>
    </row>
    <row r="52" spans="3:11" ht="30">
      <c r="C52" s="135" t="s">
        <v>200</v>
      </c>
      <c r="D52" s="137">
        <f aca="true" t="shared" si="7" ref="D52:J52">SUM(D39+D46+D50+D51)</f>
        <v>9144882.7</v>
      </c>
      <c r="E52" s="137">
        <f t="shared" si="7"/>
        <v>11035131.299999997</v>
      </c>
      <c r="F52" s="137">
        <f t="shared" si="7"/>
        <v>39777097.10000001</v>
      </c>
      <c r="G52" s="137">
        <f t="shared" si="7"/>
        <v>19830206.399999995</v>
      </c>
      <c r="H52" s="167">
        <f t="shared" si="7"/>
        <v>17824927.599999998</v>
      </c>
      <c r="I52" s="137">
        <f t="shared" si="7"/>
        <v>12665619.999999978</v>
      </c>
      <c r="J52" s="198">
        <f t="shared" si="7"/>
        <v>10142262.000000022</v>
      </c>
      <c r="K52" s="137">
        <f>SUM(K39+K46+K50+K51)</f>
        <v>12307484.699999986</v>
      </c>
    </row>
    <row r="59" ht="12.75">
      <c r="E59" s="168"/>
    </row>
  </sheetData>
  <sheetProtection/>
  <mergeCells count="13">
    <mergeCell ref="H8:H9"/>
    <mergeCell ref="I8:I9"/>
    <mergeCell ref="J8:J9"/>
    <mergeCell ref="K8:K9"/>
    <mergeCell ref="C3:K3"/>
    <mergeCell ref="C4:K4"/>
    <mergeCell ref="C5:K5"/>
    <mergeCell ref="C7:I7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S42"/>
  <sheetViews>
    <sheetView showGridLines="0" zoomScale="80" zoomScaleNormal="80" zoomScalePageLayoutView="0" workbookViewId="0" topLeftCell="A1">
      <selection activeCell="K30" sqref="K30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39.7109375" style="0" customWidth="1"/>
    <col min="4" max="8" width="13.8515625" style="0" bestFit="1" customWidth="1"/>
    <col min="9" max="11" width="13.8515625" style="0" customWidth="1"/>
  </cols>
  <sheetData>
    <row r="2" spans="4:19" ht="18" customHeight="1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3:19" ht="18" customHeight="1">
      <c r="C3" s="204" t="s">
        <v>13</v>
      </c>
      <c r="D3" s="204"/>
      <c r="E3" s="204"/>
      <c r="F3" s="204"/>
      <c r="G3" s="204"/>
      <c r="H3" s="204"/>
      <c r="I3" s="204"/>
      <c r="J3" s="204"/>
      <c r="K3" s="204"/>
      <c r="L3" s="15"/>
      <c r="M3" s="15"/>
      <c r="N3" s="15"/>
      <c r="P3" s="15"/>
      <c r="Q3" s="15"/>
      <c r="R3" s="15"/>
      <c r="S3" s="15"/>
    </row>
    <row r="4" spans="3:19" ht="15.75" customHeight="1">
      <c r="C4" s="205" t="s">
        <v>27</v>
      </c>
      <c r="D4" s="205"/>
      <c r="E4" s="205"/>
      <c r="F4" s="205"/>
      <c r="G4" s="205"/>
      <c r="H4" s="205"/>
      <c r="I4" s="205"/>
      <c r="J4" s="205"/>
      <c r="K4" s="205"/>
      <c r="L4" s="15"/>
      <c r="N4" s="15"/>
      <c r="O4" s="15"/>
      <c r="P4" s="15"/>
      <c r="Q4" s="15"/>
      <c r="S4" s="15"/>
    </row>
    <row r="5" spans="3:19" ht="22.5" customHeight="1">
      <c r="C5" s="204" t="s">
        <v>237</v>
      </c>
      <c r="D5" s="204"/>
      <c r="E5" s="204"/>
      <c r="F5" s="204"/>
      <c r="G5" s="204"/>
      <c r="H5" s="204"/>
      <c r="I5" s="204"/>
      <c r="J5" s="204"/>
      <c r="K5" s="204"/>
      <c r="L5" s="15"/>
      <c r="M5" s="15"/>
      <c r="O5" s="15"/>
      <c r="P5" s="15"/>
      <c r="Q5" s="15"/>
      <c r="R5" s="15"/>
      <c r="S5" s="15"/>
    </row>
    <row r="6" spans="4:19" ht="12.75" customHeight="1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3:11" ht="15">
      <c r="C7" s="11" t="s">
        <v>12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14</v>
      </c>
      <c r="J7" s="12" t="s">
        <v>231</v>
      </c>
      <c r="K7" s="12" t="s">
        <v>245</v>
      </c>
    </row>
    <row r="8" spans="3:11" ht="15">
      <c r="C8" s="3" t="s">
        <v>26</v>
      </c>
      <c r="D8" s="7"/>
      <c r="E8" s="7"/>
      <c r="F8" s="7"/>
      <c r="G8" s="7"/>
      <c r="H8" s="7"/>
      <c r="I8" s="7"/>
      <c r="J8" s="7"/>
      <c r="K8" s="183"/>
    </row>
    <row r="9" spans="3:11" ht="15">
      <c r="C9" s="4" t="s">
        <v>15</v>
      </c>
      <c r="D9" s="8">
        <v>52309245.5</v>
      </c>
      <c r="E9" s="8">
        <v>60990060</v>
      </c>
      <c r="F9" s="8">
        <v>69880110.59354003</v>
      </c>
      <c r="G9" s="8">
        <v>78714479.52136</v>
      </c>
      <c r="H9" s="8">
        <v>85369147.36713</v>
      </c>
      <c r="I9" s="8">
        <v>92317239.31411995</v>
      </c>
      <c r="J9" s="8">
        <v>84990130.72484997</v>
      </c>
      <c r="K9" s="184">
        <v>89899573.61257997</v>
      </c>
    </row>
    <row r="10" spans="3:11" ht="15">
      <c r="C10" s="4" t="s">
        <v>16</v>
      </c>
      <c r="D10" s="8">
        <v>49831334.86046992</v>
      </c>
      <c r="E10" s="8">
        <v>50232863.90582026</v>
      </c>
      <c r="F10" s="8">
        <v>58525751.9319799</v>
      </c>
      <c r="G10" s="8">
        <v>62666671.655840345</v>
      </c>
      <c r="H10" s="8">
        <v>74597149.34846035</v>
      </c>
      <c r="I10" s="8">
        <v>84905822.7235197</v>
      </c>
      <c r="J10" s="8">
        <v>86918131.78954037</v>
      </c>
      <c r="K10" s="8">
        <v>81343935.99786018</v>
      </c>
    </row>
    <row r="11" spans="3:11" ht="15">
      <c r="C11" s="5" t="s">
        <v>18</v>
      </c>
      <c r="D11" s="9">
        <f aca="true" t="shared" si="0" ref="D11:K11">D9-D10</f>
        <v>2477910.6395300776</v>
      </c>
      <c r="E11" s="9">
        <f t="shared" si="0"/>
        <v>10757196.094179742</v>
      </c>
      <c r="F11" s="9">
        <f t="shared" si="0"/>
        <v>11354358.661560126</v>
      </c>
      <c r="G11" s="9">
        <f t="shared" si="0"/>
        <v>16047807.86551965</v>
      </c>
      <c r="H11" s="9">
        <f t="shared" si="0"/>
        <v>10771998.01866965</v>
      </c>
      <c r="I11" s="9">
        <f t="shared" si="0"/>
        <v>7411416.590600252</v>
      </c>
      <c r="J11" s="9">
        <f t="shared" si="0"/>
        <v>-1928001.0646903962</v>
      </c>
      <c r="K11" s="10">
        <f t="shared" si="0"/>
        <v>8555637.614719793</v>
      </c>
    </row>
    <row r="12" spans="3:11" ht="15">
      <c r="C12" s="3" t="s">
        <v>11</v>
      </c>
      <c r="D12" s="2"/>
      <c r="E12" s="2"/>
      <c r="F12" s="2"/>
      <c r="G12" s="2"/>
      <c r="H12" s="2"/>
      <c r="I12" s="2"/>
      <c r="J12" s="2"/>
      <c r="K12" s="8"/>
    </row>
    <row r="13" spans="3:11" ht="15">
      <c r="C13" s="4" t="s">
        <v>15</v>
      </c>
      <c r="D13" s="8">
        <v>41948650.602700084</v>
      </c>
      <c r="E13" s="8">
        <v>46675197.354699895</v>
      </c>
      <c r="F13" s="8">
        <v>53616687.61167997</v>
      </c>
      <c r="G13" s="8">
        <v>58415823.33291982</v>
      </c>
      <c r="H13" s="8">
        <v>64015123.41370007</v>
      </c>
      <c r="I13" s="8">
        <v>68468481.73332012</v>
      </c>
      <c r="J13" s="8">
        <v>66416371.49980012</v>
      </c>
      <c r="K13" s="184">
        <v>68571229.30165969</v>
      </c>
    </row>
    <row r="14" spans="3:11" ht="15">
      <c r="C14" s="4" t="s">
        <v>16</v>
      </c>
      <c r="D14" s="8">
        <v>35990550.19151001</v>
      </c>
      <c r="E14" s="8">
        <v>40340017.91064999</v>
      </c>
      <c r="F14" s="8">
        <v>46736337.39504002</v>
      </c>
      <c r="G14" s="8">
        <v>48241880.91527996</v>
      </c>
      <c r="H14" s="8">
        <v>52506370.4370999</v>
      </c>
      <c r="I14" s="8">
        <v>56448708.5934999</v>
      </c>
      <c r="J14" s="8">
        <v>54309916.65264002</v>
      </c>
      <c r="K14" s="8">
        <v>56225361.97271995</v>
      </c>
    </row>
    <row r="15" spans="3:11" ht="15">
      <c r="C15" s="5" t="s">
        <v>18</v>
      </c>
      <c r="D15" s="9">
        <f aca="true" t="shared" si="1" ref="D15:K15">D13-D14</f>
        <v>5958100.411190078</v>
      </c>
      <c r="E15" s="9">
        <f t="shared" si="1"/>
        <v>6335179.444049902</v>
      </c>
      <c r="F15" s="9">
        <f t="shared" si="1"/>
        <v>6880350.216639951</v>
      </c>
      <c r="G15" s="9">
        <f t="shared" si="1"/>
        <v>10173942.417639859</v>
      </c>
      <c r="H15" s="9">
        <f t="shared" si="1"/>
        <v>11508752.97660017</v>
      </c>
      <c r="I15" s="9">
        <f t="shared" si="1"/>
        <v>12019773.139820218</v>
      </c>
      <c r="J15" s="9">
        <f t="shared" si="1"/>
        <v>12106454.847160101</v>
      </c>
      <c r="K15" s="10">
        <f t="shared" si="1"/>
        <v>12345867.328939736</v>
      </c>
    </row>
    <row r="16" spans="3:11" ht="15">
      <c r="C16" s="3" t="s">
        <v>10</v>
      </c>
      <c r="D16" s="2"/>
      <c r="E16" s="2"/>
      <c r="F16" s="2"/>
      <c r="G16" s="2"/>
      <c r="H16" s="2"/>
      <c r="I16" s="2"/>
      <c r="J16" s="2"/>
      <c r="K16" s="8"/>
    </row>
    <row r="17" spans="3:11" ht="15">
      <c r="C17" s="4" t="s">
        <v>15</v>
      </c>
      <c r="D17" s="8">
        <v>11821017.542049998</v>
      </c>
      <c r="E17" s="8">
        <v>16317139.562379982</v>
      </c>
      <c r="F17" s="8">
        <v>12572527.03227999</v>
      </c>
      <c r="G17" s="8">
        <v>10643970.087409995</v>
      </c>
      <c r="H17" s="8">
        <v>14027930.048259998</v>
      </c>
      <c r="I17" s="8">
        <v>22050647.516759995</v>
      </c>
      <c r="J17" s="8">
        <v>36854002.93967</v>
      </c>
      <c r="K17" s="184">
        <v>42500021.47798002</v>
      </c>
    </row>
    <row r="18" spans="3:11" ht="15">
      <c r="C18" s="4" t="s">
        <v>16</v>
      </c>
      <c r="D18" s="8">
        <v>7952051.220770001</v>
      </c>
      <c r="E18" s="8">
        <v>12931844.341850001</v>
      </c>
      <c r="F18" s="8">
        <v>12012610.536700001</v>
      </c>
      <c r="G18" s="8">
        <v>9520963.559590012</v>
      </c>
      <c r="H18" s="8">
        <v>13021011.85925</v>
      </c>
      <c r="I18" s="8">
        <v>15906154.708120001</v>
      </c>
      <c r="J18" s="8">
        <v>22957467.6402</v>
      </c>
      <c r="K18" s="8">
        <v>28131976.55363003</v>
      </c>
    </row>
    <row r="19" spans="3:11" ht="15.75" customHeight="1">
      <c r="C19" s="5" t="s">
        <v>18</v>
      </c>
      <c r="D19" s="9">
        <f aca="true" t="shared" si="2" ref="D19:K19">D17-D18</f>
        <v>3868966.321279997</v>
      </c>
      <c r="E19" s="9">
        <f t="shared" si="2"/>
        <v>3385295.220529981</v>
      </c>
      <c r="F19" s="9">
        <f t="shared" si="2"/>
        <v>559916.4955799896</v>
      </c>
      <c r="G19" s="9">
        <f t="shared" si="2"/>
        <v>1123006.5278199837</v>
      </c>
      <c r="H19" s="9">
        <f t="shared" si="2"/>
        <v>1006918.189009998</v>
      </c>
      <c r="I19" s="23">
        <f t="shared" si="2"/>
        <v>6144492.808639994</v>
      </c>
      <c r="J19" s="23">
        <f t="shared" si="2"/>
        <v>13896535.299469996</v>
      </c>
      <c r="K19" s="185">
        <f t="shared" si="2"/>
        <v>14368044.924349986</v>
      </c>
    </row>
    <row r="20" spans="3:11" ht="15">
      <c r="C20" s="3" t="s">
        <v>1</v>
      </c>
      <c r="D20" s="2"/>
      <c r="E20" s="2"/>
      <c r="F20" s="2"/>
      <c r="G20" s="2"/>
      <c r="H20" s="2"/>
      <c r="I20" s="2"/>
      <c r="J20" s="2"/>
      <c r="K20" s="8"/>
    </row>
    <row r="21" spans="3:11" ht="15">
      <c r="C21" s="4" t="s">
        <v>15</v>
      </c>
      <c r="D21" s="8">
        <v>7277470.365410006</v>
      </c>
      <c r="E21" s="8">
        <v>6546902.348419992</v>
      </c>
      <c r="F21" s="8">
        <v>6689456.682710001</v>
      </c>
      <c r="G21" s="8">
        <v>7520886.106469997</v>
      </c>
      <c r="H21" s="8">
        <v>8760602.853489999</v>
      </c>
      <c r="I21" s="8">
        <v>9110923.546449997</v>
      </c>
      <c r="J21" s="8">
        <v>10189661.73440999</v>
      </c>
      <c r="K21" s="184">
        <v>8544222.672769995</v>
      </c>
    </row>
    <row r="22" spans="3:11" ht="15">
      <c r="C22" s="4" t="s">
        <v>16</v>
      </c>
      <c r="D22" s="8">
        <v>3955283.510370006</v>
      </c>
      <c r="E22" s="8">
        <v>3489725.407349993</v>
      </c>
      <c r="F22" s="8">
        <v>3113606.5368499956</v>
      </c>
      <c r="G22" s="8">
        <v>4358459.835729996</v>
      </c>
      <c r="H22" s="8">
        <v>4921979.395129999</v>
      </c>
      <c r="I22" s="8">
        <v>5530934.709449993</v>
      </c>
      <c r="J22" s="8">
        <v>6391528.045670004</v>
      </c>
      <c r="K22" s="8">
        <v>5762164.866619987</v>
      </c>
    </row>
    <row r="23" spans="3:11" ht="15">
      <c r="C23" s="5" t="s">
        <v>18</v>
      </c>
      <c r="D23" s="9">
        <f aca="true" t="shared" si="3" ref="D23:K23">D21-D22</f>
        <v>3322186.85504</v>
      </c>
      <c r="E23" s="9">
        <f t="shared" si="3"/>
        <v>3057176.9410699992</v>
      </c>
      <c r="F23" s="9">
        <f t="shared" si="3"/>
        <v>3575850.1458600056</v>
      </c>
      <c r="G23" s="9">
        <f t="shared" si="3"/>
        <v>3162426.2707400015</v>
      </c>
      <c r="H23" s="23">
        <f t="shared" si="3"/>
        <v>3838623.4583599996</v>
      </c>
      <c r="I23" s="24">
        <f t="shared" si="3"/>
        <v>3579988.837000003</v>
      </c>
      <c r="J23" s="24">
        <f t="shared" si="3"/>
        <v>3798133.688739986</v>
      </c>
      <c r="K23" s="186">
        <f t="shared" si="3"/>
        <v>2782057.806150008</v>
      </c>
    </row>
    <row r="24" spans="3:11" ht="15">
      <c r="C24" s="3" t="s">
        <v>2</v>
      </c>
      <c r="D24" s="2"/>
      <c r="E24" s="2"/>
      <c r="F24" s="2"/>
      <c r="G24" s="2"/>
      <c r="H24" s="2"/>
      <c r="I24" s="2"/>
      <c r="J24" s="2"/>
      <c r="K24" s="8"/>
    </row>
    <row r="25" spans="3:11" ht="15">
      <c r="C25" s="4" t="s">
        <v>15</v>
      </c>
      <c r="D25" s="8">
        <v>22607437.90473009</v>
      </c>
      <c r="E25" s="8">
        <v>25584379.123459958</v>
      </c>
      <c r="F25" s="8">
        <v>27190057.748229794</v>
      </c>
      <c r="G25" s="8">
        <v>31422373.914940063</v>
      </c>
      <c r="H25" s="8">
        <v>31495027.504820105</v>
      </c>
      <c r="I25" s="8">
        <v>31216626.157029737</v>
      </c>
      <c r="J25" s="8">
        <v>29876937.540650032</v>
      </c>
      <c r="K25" s="184">
        <v>28897006.73850993</v>
      </c>
    </row>
    <row r="26" spans="3:11" ht="15">
      <c r="C26" s="4" t="s">
        <v>16</v>
      </c>
      <c r="D26" s="8">
        <v>15283359.860439822</v>
      </c>
      <c r="E26" s="8">
        <v>18769035.58627013</v>
      </c>
      <c r="F26" s="8">
        <v>18177644.37031931</v>
      </c>
      <c r="G26" s="8">
        <v>22692928.960700147</v>
      </c>
      <c r="H26" s="8">
        <v>24090173.23060037</v>
      </c>
      <c r="I26" s="8">
        <v>23936394.129949674</v>
      </c>
      <c r="J26" s="8">
        <v>21546354.724469982</v>
      </c>
      <c r="K26" s="8">
        <v>21109382.189370073</v>
      </c>
    </row>
    <row r="27" spans="3:11" ht="15">
      <c r="C27" s="6" t="s">
        <v>18</v>
      </c>
      <c r="D27" s="10">
        <f aca="true" t="shared" si="4" ref="D27:K27">D25-D26</f>
        <v>7324078.044290267</v>
      </c>
      <c r="E27" s="10">
        <f t="shared" si="4"/>
        <v>6815343.537189826</v>
      </c>
      <c r="F27" s="10">
        <f t="shared" si="4"/>
        <v>9012413.377910484</v>
      </c>
      <c r="G27" s="10">
        <f t="shared" si="4"/>
        <v>8729444.954239916</v>
      </c>
      <c r="H27" s="10">
        <f t="shared" si="4"/>
        <v>7404854.274219736</v>
      </c>
      <c r="I27" s="10">
        <f t="shared" si="4"/>
        <v>7280232.027080063</v>
      </c>
      <c r="J27" s="10">
        <f t="shared" si="4"/>
        <v>8330582.81618005</v>
      </c>
      <c r="K27" s="10">
        <f t="shared" si="4"/>
        <v>7787624.549139857</v>
      </c>
    </row>
    <row r="28" spans="4:11" ht="12.75">
      <c r="D28" s="1"/>
      <c r="E28" s="1"/>
      <c r="F28" s="1"/>
      <c r="G28" s="1"/>
      <c r="H28" s="1"/>
      <c r="I28" s="1"/>
      <c r="J28" s="1"/>
      <c r="K28" s="1"/>
    </row>
    <row r="29" spans="3:11" ht="15">
      <c r="C29" s="19" t="s">
        <v>19</v>
      </c>
      <c r="D29" s="20">
        <f aca="true" t="shared" si="5" ref="D29:F31">SUM(D9,D13,D17,D21,D25)</f>
        <v>135963821.91489017</v>
      </c>
      <c r="E29" s="20">
        <f t="shared" si="5"/>
        <v>156113678.38895983</v>
      </c>
      <c r="F29" s="20">
        <f t="shared" si="5"/>
        <v>169948839.66843978</v>
      </c>
      <c r="G29" s="20">
        <f>SUM(G9,G13,G17,G21,G25)-0.1</f>
        <v>186717532.86309987</v>
      </c>
      <c r="H29" s="20">
        <f aca="true" t="shared" si="6" ref="H29:K31">SUM(H9,H13,H17,H21,H25)</f>
        <v>203667831.18740016</v>
      </c>
      <c r="I29" s="20">
        <f t="shared" si="6"/>
        <v>223163918.26767978</v>
      </c>
      <c r="J29" s="20">
        <f t="shared" si="6"/>
        <v>228327104.4393801</v>
      </c>
      <c r="K29" s="20">
        <f t="shared" si="6"/>
        <v>238412053.80349958</v>
      </c>
    </row>
    <row r="30" spans="3:11" ht="15">
      <c r="C30" s="13" t="s">
        <v>20</v>
      </c>
      <c r="D30" s="14">
        <f t="shared" si="5"/>
        <v>113012579.64355975</v>
      </c>
      <c r="E30" s="14">
        <f t="shared" si="5"/>
        <v>125763487.15194038</v>
      </c>
      <c r="F30" s="14">
        <f t="shared" si="5"/>
        <v>138565950.77088922</v>
      </c>
      <c r="G30" s="14">
        <f>SUM(G10,G14,G18,G22,G26)</f>
        <v>147480904.92714047</v>
      </c>
      <c r="H30" s="14">
        <f t="shared" si="6"/>
        <v>169136684.27054062</v>
      </c>
      <c r="I30" s="14">
        <f t="shared" si="6"/>
        <v>186728014.86453927</v>
      </c>
      <c r="J30" s="14">
        <f t="shared" si="6"/>
        <v>192123398.85252038</v>
      </c>
      <c r="K30" s="14">
        <f t="shared" si="6"/>
        <v>192572821.5802002</v>
      </c>
    </row>
    <row r="31" spans="3:11" ht="15">
      <c r="C31" s="21" t="s">
        <v>25</v>
      </c>
      <c r="D31" s="22">
        <f t="shared" si="5"/>
        <v>22951242.27133042</v>
      </c>
      <c r="E31" s="22">
        <f t="shared" si="5"/>
        <v>30350191.23701945</v>
      </c>
      <c r="F31" s="22">
        <f t="shared" si="5"/>
        <v>31382888.897550553</v>
      </c>
      <c r="G31" s="22">
        <f>SUM(G11,G15,G19,G23,G27)</f>
        <v>39236628.03595941</v>
      </c>
      <c r="H31" s="22">
        <f t="shared" si="6"/>
        <v>34531146.91685955</v>
      </c>
      <c r="I31" s="22">
        <f t="shared" si="6"/>
        <v>36435903.40314053</v>
      </c>
      <c r="J31" s="22">
        <f t="shared" si="6"/>
        <v>36203705.58685973</v>
      </c>
      <c r="K31" s="22">
        <f t="shared" si="6"/>
        <v>45839232.223299384</v>
      </c>
    </row>
    <row r="33" ht="12.75">
      <c r="D33" s="18"/>
    </row>
    <row r="36" spans="7:9" ht="12.75">
      <c r="G36" s="168"/>
      <c r="I36" s="168"/>
    </row>
    <row r="42" spans="7:9" ht="12.75">
      <c r="G42" s="168"/>
      <c r="I42" s="168"/>
    </row>
  </sheetData>
  <sheetProtection/>
  <mergeCells count="3">
    <mergeCell ref="C3:K3"/>
    <mergeCell ref="C4:K4"/>
    <mergeCell ref="C5:K5"/>
  </mergeCells>
  <printOptions/>
  <pageMargins left="0.7" right="0.7" top="0.75" bottom="0.75" header="0.3" footer="0.3"/>
  <pageSetup horizontalDpi="600" verticalDpi="600" orientation="portrait" paperSize="9" r:id="rId2"/>
  <ignoredErrors>
    <ignoredError sqref="G29" formula="1"/>
    <ignoredError sqref="D7:E7 G7:K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K32"/>
  <sheetViews>
    <sheetView showGridLines="0" zoomScale="80" zoomScaleNormal="80" zoomScalePageLayoutView="0" workbookViewId="0" topLeftCell="A1">
      <selection activeCell="K9" sqref="K9"/>
    </sheetView>
  </sheetViews>
  <sheetFormatPr defaultColWidth="11.421875" defaultRowHeight="12.75"/>
  <cols>
    <col min="1" max="2" width="4.57421875" style="0" customWidth="1"/>
    <col min="3" max="3" width="44.421875" style="0" bestFit="1" customWidth="1"/>
    <col min="4" max="4" width="13.140625" style="0" bestFit="1" customWidth="1"/>
    <col min="5" max="5" width="15.00390625" style="0" customWidth="1"/>
    <col min="6" max="8" width="13.140625" style="0" bestFit="1" customWidth="1"/>
    <col min="9" max="9" width="13.140625" style="0" customWidth="1"/>
    <col min="10" max="10" width="13.140625" style="0" bestFit="1" customWidth="1"/>
    <col min="11" max="11" width="13.140625" style="0" customWidth="1"/>
  </cols>
  <sheetData>
    <row r="3" spans="3:11" ht="15.75" customHeight="1">
      <c r="C3" s="204" t="s">
        <v>13</v>
      </c>
      <c r="D3" s="204"/>
      <c r="E3" s="204"/>
      <c r="F3" s="204"/>
      <c r="G3" s="204"/>
      <c r="H3" s="204"/>
      <c r="I3" s="204"/>
      <c r="J3" s="204"/>
      <c r="K3" s="204"/>
    </row>
    <row r="4" spans="3:11" ht="15.75">
      <c r="C4" s="205" t="s">
        <v>28</v>
      </c>
      <c r="D4" s="205"/>
      <c r="E4" s="205"/>
      <c r="F4" s="205"/>
      <c r="G4" s="205"/>
      <c r="H4" s="205"/>
      <c r="I4" s="205"/>
      <c r="J4" s="205"/>
      <c r="K4" s="205"/>
    </row>
    <row r="5" spans="3:11" ht="15.75" customHeight="1">
      <c r="C5" s="204" t="s">
        <v>237</v>
      </c>
      <c r="D5" s="204"/>
      <c r="E5" s="204"/>
      <c r="F5" s="204"/>
      <c r="G5" s="204"/>
      <c r="H5" s="204"/>
      <c r="I5" s="204"/>
      <c r="J5" s="204"/>
      <c r="K5" s="204"/>
    </row>
    <row r="6" spans="3:9" ht="15.75">
      <c r="C6" s="16"/>
      <c r="D6" s="17"/>
      <c r="E6" s="17"/>
      <c r="F6" s="15"/>
      <c r="G6" s="15"/>
      <c r="H6" s="15"/>
      <c r="I6" s="15"/>
    </row>
    <row r="7" spans="3:11" ht="15">
      <c r="C7" s="11" t="s">
        <v>24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14</v>
      </c>
      <c r="J7" s="12" t="s">
        <v>231</v>
      </c>
      <c r="K7" s="12" t="s">
        <v>245</v>
      </c>
    </row>
    <row r="8" spans="3:11" ht="15">
      <c r="C8" s="3" t="s">
        <v>4</v>
      </c>
      <c r="D8" s="2"/>
      <c r="E8" s="2"/>
      <c r="F8" s="2"/>
      <c r="G8" s="2"/>
      <c r="H8" s="2"/>
      <c r="I8" s="2"/>
      <c r="J8" s="2"/>
      <c r="K8" s="8"/>
    </row>
    <row r="9" spans="3:11" ht="15">
      <c r="C9" s="4" t="s">
        <v>15</v>
      </c>
      <c r="D9" s="8">
        <v>14101304.619599951</v>
      </c>
      <c r="E9" s="8">
        <v>15911615.190380016</v>
      </c>
      <c r="F9" s="8">
        <v>16824669.577670053</v>
      </c>
      <c r="G9" s="8">
        <v>20502378.66172002</v>
      </c>
      <c r="H9" s="8">
        <v>18974463.606750075</v>
      </c>
      <c r="I9" s="8">
        <v>18428563.082469903</v>
      </c>
      <c r="J9" s="8">
        <v>16558325.344620043</v>
      </c>
      <c r="K9" s="184">
        <v>14619307.50474992</v>
      </c>
    </row>
    <row r="10" spans="3:11" ht="15">
      <c r="C10" s="4" t="s">
        <v>16</v>
      </c>
      <c r="D10" s="8">
        <v>8543552.784859965</v>
      </c>
      <c r="E10" s="8">
        <v>10957431.215880007</v>
      </c>
      <c r="F10" s="8">
        <v>9725212.142159931</v>
      </c>
      <c r="G10" s="8">
        <v>13634341.318549775</v>
      </c>
      <c r="H10" s="8">
        <v>13366054.777599972</v>
      </c>
      <c r="I10" s="8">
        <v>12894142.258160027</v>
      </c>
      <c r="J10" s="8">
        <v>10550410.819920007</v>
      </c>
      <c r="K10" s="8">
        <v>9002031.78577003</v>
      </c>
    </row>
    <row r="11" spans="3:11" ht="15">
      <c r="C11" s="5" t="s">
        <v>18</v>
      </c>
      <c r="D11" s="9">
        <f aca="true" t="shared" si="0" ref="D11:K11">D9-D10</f>
        <v>5557751.834739987</v>
      </c>
      <c r="E11" s="9">
        <f t="shared" si="0"/>
        <v>4954183.97450001</v>
      </c>
      <c r="F11" s="9">
        <f t="shared" si="0"/>
        <v>7099457.435510121</v>
      </c>
      <c r="G11" s="9">
        <f t="shared" si="0"/>
        <v>6868037.343170244</v>
      </c>
      <c r="H11" s="9">
        <f t="shared" si="0"/>
        <v>5608408.829150103</v>
      </c>
      <c r="I11" s="9">
        <f t="shared" si="0"/>
        <v>5534420.824309876</v>
      </c>
      <c r="J11" s="9">
        <f t="shared" si="0"/>
        <v>6007914.524700036</v>
      </c>
      <c r="K11" s="10">
        <f t="shared" si="0"/>
        <v>5617275.7189798895</v>
      </c>
    </row>
    <row r="12" spans="3:11" ht="15">
      <c r="C12" s="3" t="s">
        <v>3</v>
      </c>
      <c r="D12" s="2"/>
      <c r="E12" s="2"/>
      <c r="F12" s="2"/>
      <c r="G12" s="2"/>
      <c r="H12" s="2"/>
      <c r="I12" s="2"/>
      <c r="J12" s="2"/>
      <c r="K12" s="8"/>
    </row>
    <row r="13" spans="3:11" ht="15">
      <c r="C13" s="4" t="s">
        <v>15</v>
      </c>
      <c r="D13" s="8">
        <v>2972475.9531900003</v>
      </c>
      <c r="E13" s="8">
        <v>3908634.3643599995</v>
      </c>
      <c r="F13" s="8">
        <v>4140624.73944</v>
      </c>
      <c r="G13" s="8">
        <v>3480328.37774</v>
      </c>
      <c r="H13" s="8">
        <v>4457775.37168</v>
      </c>
      <c r="I13" s="8">
        <v>4282614.235359999</v>
      </c>
      <c r="J13" s="8">
        <v>4590800.09298</v>
      </c>
      <c r="K13" s="184">
        <v>5025832.61317</v>
      </c>
    </row>
    <row r="14" spans="3:11" ht="15">
      <c r="C14" s="4" t="s">
        <v>16</v>
      </c>
      <c r="D14" s="8">
        <v>2084516.8952000001</v>
      </c>
      <c r="E14" s="8">
        <v>2744195.8615499996</v>
      </c>
      <c r="F14" s="8">
        <v>3332205.0594999995</v>
      </c>
      <c r="G14" s="8">
        <v>2728886.4068399994</v>
      </c>
      <c r="H14" s="8">
        <v>3697782.0228599994</v>
      </c>
      <c r="I14" s="8">
        <v>3510503.39191</v>
      </c>
      <c r="J14" s="8">
        <v>3565991.117739999</v>
      </c>
      <c r="K14" s="8">
        <v>4103973.50432</v>
      </c>
    </row>
    <row r="15" spans="3:11" ht="15">
      <c r="C15" s="5" t="s">
        <v>18</v>
      </c>
      <c r="D15" s="9">
        <f aca="true" t="shared" si="1" ref="D15:K15">D13-D14</f>
        <v>887959.0579900001</v>
      </c>
      <c r="E15" s="9">
        <f t="shared" si="1"/>
        <v>1164438.50281</v>
      </c>
      <c r="F15" s="9">
        <f t="shared" si="1"/>
        <v>808419.6799400006</v>
      </c>
      <c r="G15" s="9">
        <f t="shared" si="1"/>
        <v>751441.9709000005</v>
      </c>
      <c r="H15" s="9">
        <f t="shared" si="1"/>
        <v>759993.3488200004</v>
      </c>
      <c r="I15" s="9">
        <f t="shared" si="1"/>
        <v>772110.8434499996</v>
      </c>
      <c r="J15" s="9">
        <f t="shared" si="1"/>
        <v>1024808.975240001</v>
      </c>
      <c r="K15" s="10">
        <f t="shared" si="1"/>
        <v>921859.10885</v>
      </c>
    </row>
    <row r="16" spans="3:11" ht="15">
      <c r="C16" s="3" t="s">
        <v>0</v>
      </c>
      <c r="D16" s="2"/>
      <c r="E16" s="2"/>
      <c r="F16" s="2"/>
      <c r="G16" s="2"/>
      <c r="H16" s="2"/>
      <c r="I16" s="2"/>
      <c r="J16" s="2"/>
      <c r="K16" s="8"/>
    </row>
    <row r="17" spans="3:11" ht="15">
      <c r="C17" s="4" t="s">
        <v>15</v>
      </c>
      <c r="D17" s="8">
        <v>3856430.2991999974</v>
      </c>
      <c r="E17" s="8">
        <v>3923305.12687002</v>
      </c>
      <c r="F17" s="8">
        <v>4165810.1</v>
      </c>
      <c r="G17" s="8">
        <v>4963606.752289997</v>
      </c>
      <c r="H17" s="8">
        <v>5274572.605979996</v>
      </c>
      <c r="I17" s="8">
        <v>5622584.987309984</v>
      </c>
      <c r="J17" s="8">
        <v>5602951.166959985</v>
      </c>
      <c r="K17" s="184">
        <v>5682678.611030009</v>
      </c>
    </row>
    <row r="18" spans="3:11" ht="15">
      <c r="C18" s="4" t="s">
        <v>16</v>
      </c>
      <c r="D18" s="8">
        <v>3218333.7087499816</v>
      </c>
      <c r="E18" s="8">
        <v>3468496.4854999813</v>
      </c>
      <c r="F18" s="8">
        <v>3367007.638850013</v>
      </c>
      <c r="G18" s="8">
        <v>4192367.339060006</v>
      </c>
      <c r="H18" s="8">
        <v>4637772.591690007</v>
      </c>
      <c r="I18" s="8">
        <v>5000854.408799978</v>
      </c>
      <c r="J18" s="8">
        <v>4775037.9466799665</v>
      </c>
      <c r="K18" s="8">
        <v>5022154.861490043</v>
      </c>
    </row>
    <row r="19" spans="3:11" ht="15">
      <c r="C19" s="5" t="s">
        <v>18</v>
      </c>
      <c r="D19" s="9">
        <f aca="true" t="shared" si="2" ref="D19:K19">D17-D18</f>
        <v>638096.5904500159</v>
      </c>
      <c r="E19" s="9">
        <f t="shared" si="2"/>
        <v>454808.6413700385</v>
      </c>
      <c r="F19" s="9">
        <f t="shared" si="2"/>
        <v>798802.4611499873</v>
      </c>
      <c r="G19" s="9">
        <f t="shared" si="2"/>
        <v>771239.4132299912</v>
      </c>
      <c r="H19" s="9">
        <f t="shared" si="2"/>
        <v>636800.0142899891</v>
      </c>
      <c r="I19" s="9">
        <f t="shared" si="2"/>
        <v>621730.578510006</v>
      </c>
      <c r="J19" s="9">
        <f t="shared" si="2"/>
        <v>827913.2202800186</v>
      </c>
      <c r="K19" s="10">
        <f t="shared" si="2"/>
        <v>660523.7495399658</v>
      </c>
    </row>
    <row r="20" spans="3:11" ht="15">
      <c r="C20" s="3" t="s">
        <v>17</v>
      </c>
      <c r="D20" s="2"/>
      <c r="E20" s="2"/>
      <c r="F20" s="2"/>
      <c r="G20" s="2"/>
      <c r="H20" s="2"/>
      <c r="I20" s="2"/>
      <c r="J20" s="2"/>
      <c r="K20" s="8"/>
    </row>
    <row r="21" spans="3:11" ht="15">
      <c r="C21" s="4" t="s">
        <v>15</v>
      </c>
      <c r="D21" s="8">
        <v>1677227.032739997</v>
      </c>
      <c r="E21" s="8">
        <v>1840824.4418500015</v>
      </c>
      <c r="F21" s="8">
        <v>2058953.3</v>
      </c>
      <c r="G21" s="8">
        <v>2476060.1</v>
      </c>
      <c r="H21" s="8">
        <v>2788215.9</v>
      </c>
      <c r="I21" s="8">
        <v>2882863.851889998</v>
      </c>
      <c r="J21" s="8">
        <v>3124860.9360900037</v>
      </c>
      <c r="K21" s="184">
        <v>3569188.0095600006</v>
      </c>
    </row>
    <row r="22" spans="3:11" ht="15">
      <c r="C22" s="4" t="s">
        <v>16</v>
      </c>
      <c r="D22" s="8">
        <v>1436956.4716299996</v>
      </c>
      <c r="E22" s="8">
        <v>1598912.023340005</v>
      </c>
      <c r="F22" s="8">
        <v>1753219.5298100028</v>
      </c>
      <c r="G22" s="8">
        <v>2137333.8962499984</v>
      </c>
      <c r="H22" s="8">
        <v>2388563.8384500146</v>
      </c>
      <c r="I22" s="8">
        <v>2530894.0710800034</v>
      </c>
      <c r="J22" s="8">
        <v>2654914.84013001</v>
      </c>
      <c r="K22" s="8">
        <v>2981222.0377899986</v>
      </c>
    </row>
    <row r="23" spans="3:11" ht="15">
      <c r="C23" s="6" t="s">
        <v>18</v>
      </c>
      <c r="D23" s="10">
        <f aca="true" t="shared" si="3" ref="D23:K23">D21-D22</f>
        <v>240270.56110999733</v>
      </c>
      <c r="E23" s="10">
        <f t="shared" si="3"/>
        <v>241912.4185099965</v>
      </c>
      <c r="F23" s="10">
        <f t="shared" si="3"/>
        <v>305733.7701899973</v>
      </c>
      <c r="G23" s="10">
        <f t="shared" si="3"/>
        <v>338726.20375000173</v>
      </c>
      <c r="H23" s="10">
        <f t="shared" si="3"/>
        <v>399652.0615499853</v>
      </c>
      <c r="I23" s="10">
        <f t="shared" si="3"/>
        <v>351969.7808099948</v>
      </c>
      <c r="J23" s="10">
        <f t="shared" si="3"/>
        <v>469946.09595999354</v>
      </c>
      <c r="K23" s="10">
        <f t="shared" si="3"/>
        <v>587965.971770002</v>
      </c>
    </row>
    <row r="24" spans="3:11" ht="15">
      <c r="C24" s="62"/>
      <c r="D24" s="62"/>
      <c r="E24" s="62"/>
      <c r="F24" s="62"/>
      <c r="G24" s="62"/>
      <c r="H24" s="62"/>
      <c r="I24" s="62"/>
      <c r="J24" s="62"/>
      <c r="K24" s="62"/>
    </row>
    <row r="25" spans="3:11" ht="15">
      <c r="C25" s="19" t="s">
        <v>21</v>
      </c>
      <c r="D25" s="20">
        <f aca="true" t="shared" si="4" ref="D25:K27">SUM(D9,D13,D17,D21)</f>
        <v>22607437.904729947</v>
      </c>
      <c r="E25" s="20">
        <f t="shared" si="4"/>
        <v>25584379.12346004</v>
      </c>
      <c r="F25" s="20">
        <f t="shared" si="4"/>
        <v>27190057.717110056</v>
      </c>
      <c r="G25" s="20">
        <f t="shared" si="4"/>
        <v>31422373.891750015</v>
      </c>
      <c r="H25" s="20">
        <f t="shared" si="4"/>
        <v>31495027.48441007</v>
      </c>
      <c r="I25" s="20">
        <f t="shared" si="4"/>
        <v>31216626.157029886</v>
      </c>
      <c r="J25" s="20">
        <f t="shared" si="4"/>
        <v>29876937.540650032</v>
      </c>
      <c r="K25" s="20">
        <f t="shared" si="4"/>
        <v>28897006.73850993</v>
      </c>
    </row>
    <row r="26" spans="3:11" ht="15">
      <c r="C26" s="13" t="s">
        <v>22</v>
      </c>
      <c r="D26" s="14">
        <f t="shared" si="4"/>
        <v>15283359.860439947</v>
      </c>
      <c r="E26" s="14">
        <f t="shared" si="4"/>
        <v>18769035.586269993</v>
      </c>
      <c r="F26" s="14">
        <f t="shared" si="4"/>
        <v>18177644.370319948</v>
      </c>
      <c r="G26" s="14">
        <f t="shared" si="4"/>
        <v>22692928.960699778</v>
      </c>
      <c r="H26" s="14">
        <f t="shared" si="4"/>
        <v>24090173.230599992</v>
      </c>
      <c r="I26" s="14">
        <f t="shared" si="4"/>
        <v>23936394.129950006</v>
      </c>
      <c r="J26" s="14">
        <f t="shared" si="4"/>
        <v>21546354.724469982</v>
      </c>
      <c r="K26" s="14">
        <f t="shared" si="4"/>
        <v>21109382.189370073</v>
      </c>
    </row>
    <row r="27" spans="3:11" ht="15">
      <c r="C27" s="21" t="s">
        <v>23</v>
      </c>
      <c r="D27" s="22">
        <f t="shared" si="4"/>
        <v>7324078.04429</v>
      </c>
      <c r="E27" s="22">
        <f t="shared" si="4"/>
        <v>6815343.537190044</v>
      </c>
      <c r="F27" s="22">
        <f t="shared" si="4"/>
        <v>9012413.346790105</v>
      </c>
      <c r="G27" s="22">
        <f t="shared" si="4"/>
        <v>8729444.931050237</v>
      </c>
      <c r="H27" s="22">
        <f t="shared" si="4"/>
        <v>7404854.253810078</v>
      </c>
      <c r="I27" s="22">
        <f t="shared" si="4"/>
        <v>7280232.0270798765</v>
      </c>
      <c r="J27" s="22">
        <f t="shared" si="4"/>
        <v>8330582.81618005</v>
      </c>
      <c r="K27" s="22">
        <f t="shared" si="4"/>
        <v>7787624.549139857</v>
      </c>
    </row>
    <row r="32" ht="12.75">
      <c r="G32" s="168"/>
    </row>
  </sheetData>
  <sheetProtection/>
  <mergeCells count="3">
    <mergeCell ref="C3:K3"/>
    <mergeCell ref="C4:K4"/>
    <mergeCell ref="C5:K5"/>
  </mergeCells>
  <printOptions/>
  <pageMargins left="0.7" right="0.7" top="0.75" bottom="0.75" header="0.3" footer="0.3"/>
  <pageSetup orientation="portrait" paperSize="9"/>
  <ignoredErrors>
    <ignoredError sqref="D7:K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52"/>
  <sheetViews>
    <sheetView showGridLines="0" zoomScale="80" zoomScaleNormal="80" zoomScalePageLayoutView="0" workbookViewId="0" topLeftCell="A19">
      <selection activeCell="M16" sqref="M16"/>
    </sheetView>
  </sheetViews>
  <sheetFormatPr defaultColWidth="11.421875" defaultRowHeight="12.75"/>
  <cols>
    <col min="1" max="1" width="8.00390625" style="0" customWidth="1"/>
    <col min="2" max="2" width="35.28125" style="0" customWidth="1"/>
    <col min="3" max="3" width="14.57421875" style="0" customWidth="1"/>
    <col min="4" max="4" width="15.421875" style="0" customWidth="1"/>
    <col min="5" max="5" width="15.28125" style="0" customWidth="1"/>
    <col min="6" max="8" width="14.00390625" style="0" customWidth="1"/>
    <col min="9" max="10" width="13.8515625" style="0" customWidth="1"/>
    <col min="11" max="11" width="1.421875" style="0" customWidth="1"/>
    <col min="12" max="12" width="11.57421875" style="0" bestFit="1" customWidth="1"/>
    <col min="13" max="13" width="13.57421875" style="0" bestFit="1" customWidth="1"/>
    <col min="14" max="16" width="11.57421875" style="0" bestFit="1" customWidth="1"/>
    <col min="17" max="18" width="11.57421875" style="0" customWidth="1"/>
  </cols>
  <sheetData>
    <row r="3" spans="2:10" ht="15.75">
      <c r="B3" s="206" t="s">
        <v>13</v>
      </c>
      <c r="C3" s="206"/>
      <c r="D3" s="206"/>
      <c r="E3" s="206"/>
      <c r="F3" s="206"/>
      <c r="G3" s="206"/>
      <c r="H3" s="206"/>
      <c r="I3" s="206"/>
      <c r="J3" s="206"/>
    </row>
    <row r="4" spans="2:10" ht="15.75">
      <c r="B4" s="206" t="s">
        <v>29</v>
      </c>
      <c r="C4" s="206"/>
      <c r="D4" s="206"/>
      <c r="E4" s="206"/>
      <c r="F4" s="206"/>
      <c r="G4" s="206"/>
      <c r="H4" s="206"/>
      <c r="I4" s="206"/>
      <c r="J4" s="206"/>
    </row>
    <row r="5" spans="2:10" ht="15.75">
      <c r="B5" s="206" t="s">
        <v>238</v>
      </c>
      <c r="C5" s="206"/>
      <c r="D5" s="206"/>
      <c r="E5" s="206"/>
      <c r="F5" s="206"/>
      <c r="G5" s="206"/>
      <c r="H5" s="206"/>
      <c r="I5" s="206"/>
      <c r="J5" s="206"/>
    </row>
    <row r="6" spans="2:10" ht="12.75">
      <c r="B6" s="207"/>
      <c r="C6" s="207"/>
      <c r="D6" s="207"/>
      <c r="E6" s="207"/>
      <c r="F6" s="207"/>
      <c r="G6" s="207"/>
      <c r="H6" s="207"/>
      <c r="I6" s="207"/>
      <c r="J6" s="180"/>
    </row>
    <row r="8" spans="2:18" ht="15" customHeight="1">
      <c r="B8" s="208" t="s">
        <v>30</v>
      </c>
      <c r="C8" s="210" t="s">
        <v>31</v>
      </c>
      <c r="D8" s="210" t="s">
        <v>32</v>
      </c>
      <c r="E8" s="210" t="s">
        <v>33</v>
      </c>
      <c r="F8" s="210" t="s">
        <v>34</v>
      </c>
      <c r="G8" s="210" t="s">
        <v>35</v>
      </c>
      <c r="H8" s="210" t="s">
        <v>36</v>
      </c>
      <c r="I8" s="212" t="s">
        <v>232</v>
      </c>
      <c r="J8" s="212" t="s">
        <v>246</v>
      </c>
      <c r="L8" s="214" t="s">
        <v>37</v>
      </c>
      <c r="M8" s="215"/>
      <c r="N8" s="215"/>
      <c r="O8" s="215"/>
      <c r="P8" s="215"/>
      <c r="Q8" s="215"/>
      <c r="R8" s="216"/>
    </row>
    <row r="9" spans="2:18" ht="15">
      <c r="B9" s="209"/>
      <c r="C9" s="211"/>
      <c r="D9" s="211"/>
      <c r="E9" s="211"/>
      <c r="F9" s="211"/>
      <c r="G9" s="211"/>
      <c r="H9" s="211"/>
      <c r="I9" s="213"/>
      <c r="J9" s="213"/>
      <c r="L9" s="187" t="s">
        <v>38</v>
      </c>
      <c r="M9" s="187" t="s">
        <v>39</v>
      </c>
      <c r="N9" s="187" t="s">
        <v>40</v>
      </c>
      <c r="O9" s="187" t="s">
        <v>41</v>
      </c>
      <c r="P9" s="187" t="s">
        <v>42</v>
      </c>
      <c r="Q9" s="187" t="s">
        <v>233</v>
      </c>
      <c r="R9" s="70" t="s">
        <v>247</v>
      </c>
    </row>
    <row r="10" spans="2:18" ht="6.75" customHeight="1">
      <c r="B10" s="62"/>
      <c r="C10" s="63"/>
      <c r="D10" s="63"/>
      <c r="E10" s="63"/>
      <c r="F10" s="63"/>
      <c r="G10" s="63"/>
      <c r="H10" s="63"/>
      <c r="I10" s="63"/>
      <c r="J10" s="63"/>
      <c r="L10" s="62"/>
      <c r="M10" s="62"/>
      <c r="N10" s="62"/>
      <c r="O10" s="62"/>
      <c r="P10" s="62"/>
      <c r="Q10" s="62"/>
      <c r="R10" s="62"/>
    </row>
    <row r="11" spans="2:18" ht="15">
      <c r="B11" s="25" t="s">
        <v>43</v>
      </c>
      <c r="C11" s="26">
        <f aca="true" t="shared" si="0" ref="C11:J11">SUM(C12:C15)</f>
        <v>89043946.39468014</v>
      </c>
      <c r="D11" s="26">
        <f t="shared" si="0"/>
        <v>104628768.18479995</v>
      </c>
      <c r="E11" s="26">
        <f t="shared" si="0"/>
        <v>123098858.94384019</v>
      </c>
      <c r="F11" s="26">
        <f t="shared" si="0"/>
        <v>133346127.89489993</v>
      </c>
      <c r="G11" s="27">
        <f t="shared" si="0"/>
        <v>144027732.26280004</v>
      </c>
      <c r="H11" s="26">
        <f t="shared" si="0"/>
        <v>152762315.31423998</v>
      </c>
      <c r="I11" s="26">
        <f t="shared" si="0"/>
        <v>145983675.49108016</v>
      </c>
      <c r="J11" s="26">
        <f t="shared" si="0"/>
        <v>147733812.05927974</v>
      </c>
      <c r="L11" s="28">
        <f aca="true" t="shared" si="1" ref="L11:L23">(D11-C11)/C11</f>
        <v>0.17502393392405746</v>
      </c>
      <c r="M11" s="28">
        <f>(E11-D11)/D11</f>
        <v>0.1765297544784007</v>
      </c>
      <c r="N11" s="28">
        <f>(F11-E11)/E11</f>
        <v>0.08324422369938232</v>
      </c>
      <c r="O11" s="28">
        <f>(G11-F11)/F11</f>
        <v>0.08010434600935001</v>
      </c>
      <c r="P11" s="29">
        <f>(H11-G11)/G11</f>
        <v>0.06064514739079828</v>
      </c>
      <c r="Q11" s="28">
        <f>(I11-H11)/H11</f>
        <v>-0.044373769860818105</v>
      </c>
      <c r="R11" s="29">
        <f aca="true" t="shared" si="2" ref="R11:R25">(J11-I11)/I11</f>
        <v>0.011988577231750211</v>
      </c>
    </row>
    <row r="12" spans="2:18" ht="15">
      <c r="B12" s="4" t="s">
        <v>44</v>
      </c>
      <c r="C12" s="64">
        <v>47532395.07447014</v>
      </c>
      <c r="D12" s="64">
        <v>59449570.04584995</v>
      </c>
      <c r="E12" s="64">
        <v>69335554.01355022</v>
      </c>
      <c r="F12" s="64">
        <v>76228787.3</v>
      </c>
      <c r="G12" s="65">
        <v>82572760.9</v>
      </c>
      <c r="H12" s="64">
        <v>88706808.1</v>
      </c>
      <c r="I12" s="64">
        <v>84683277.36815019</v>
      </c>
      <c r="J12" s="64">
        <v>85939925.80244973</v>
      </c>
      <c r="L12" s="30">
        <f t="shared" si="1"/>
        <v>0.2507169048121578</v>
      </c>
      <c r="M12" s="30">
        <f aca="true" t="shared" si="3" ref="M12:M23">(E12-D12)/D12</f>
        <v>0.16629193382014026</v>
      </c>
      <c r="N12" s="30">
        <f aca="true" t="shared" si="4" ref="N12:N23">(F12-E12)/E12</f>
        <v>0.09941844966152046</v>
      </c>
      <c r="O12" s="30">
        <f aca="true" t="shared" si="5" ref="O12:O23">(G12-F12)/F12</f>
        <v>0.08322280630063243</v>
      </c>
      <c r="P12" s="31">
        <f aca="true" t="shared" si="6" ref="P12:P23">(H12-G12)/G12</f>
        <v>0.07428657020961967</v>
      </c>
      <c r="Q12" s="30">
        <f aca="true" t="shared" si="7" ref="Q12:Q25">(I12-H12)/H12</f>
        <v>-0.045357631708651286</v>
      </c>
      <c r="R12" s="31">
        <f t="shared" si="2"/>
        <v>0.01483939301069346</v>
      </c>
    </row>
    <row r="13" spans="2:18" ht="15">
      <c r="B13" s="4" t="s">
        <v>45</v>
      </c>
      <c r="C13" s="64">
        <v>1353778.8</v>
      </c>
      <c r="D13" s="64">
        <v>1604698.1688899996</v>
      </c>
      <c r="E13" s="64">
        <v>1920296.5426</v>
      </c>
      <c r="F13" s="64">
        <v>2229432.3</v>
      </c>
      <c r="G13" s="65">
        <v>2600308</v>
      </c>
      <c r="H13" s="64">
        <v>2841343.1</v>
      </c>
      <c r="I13" s="64">
        <v>12299122.7613</v>
      </c>
      <c r="J13" s="64">
        <v>13027271.49241</v>
      </c>
      <c r="L13" s="30">
        <f t="shared" si="1"/>
        <v>0.18534739123555455</v>
      </c>
      <c r="M13" s="30">
        <f t="shared" si="3"/>
        <v>0.19667148615761545</v>
      </c>
      <c r="N13" s="30">
        <f t="shared" si="4"/>
        <v>0.16098334321919003</v>
      </c>
      <c r="O13" s="30">
        <f t="shared" si="5"/>
        <v>0.1663543225779945</v>
      </c>
      <c r="P13" s="31">
        <f t="shared" si="6"/>
        <v>0.09269482692050329</v>
      </c>
      <c r="Q13" s="30">
        <f t="shared" si="7"/>
        <v>3.3286299219900615</v>
      </c>
      <c r="R13" s="31">
        <f t="shared" si="2"/>
        <v>0.05920330622287705</v>
      </c>
    </row>
    <row r="14" spans="2:18" ht="15">
      <c r="B14" s="32" t="s">
        <v>46</v>
      </c>
      <c r="C14" s="64">
        <v>27589524.5</v>
      </c>
      <c r="D14" s="64">
        <v>31749668.65927001</v>
      </c>
      <c r="E14" s="64">
        <v>38227450.98060001</v>
      </c>
      <c r="F14" s="64">
        <v>41028551.87938999</v>
      </c>
      <c r="G14" s="65">
        <v>44172903.2</v>
      </c>
      <c r="H14" s="64">
        <v>45536625.2</v>
      </c>
      <c r="I14" s="64">
        <v>31853150.724140007</v>
      </c>
      <c r="J14" s="64">
        <v>31735236.738720007</v>
      </c>
      <c r="L14" s="30">
        <f t="shared" si="1"/>
        <v>0.1507870916466868</v>
      </c>
      <c r="M14" s="30">
        <f t="shared" si="3"/>
        <v>0.20402676925066635</v>
      </c>
      <c r="N14" s="30">
        <f t="shared" si="4"/>
        <v>0.07327459265362753</v>
      </c>
      <c r="O14" s="30">
        <f t="shared" si="5"/>
        <v>0.07663812580695858</v>
      </c>
      <c r="P14" s="31">
        <f t="shared" si="6"/>
        <v>0.03087236521053477</v>
      </c>
      <c r="Q14" s="30">
        <f t="shared" si="7"/>
        <v>-0.3004938204305047</v>
      </c>
      <c r="R14" s="31">
        <f t="shared" si="2"/>
        <v>-0.003701799751025519</v>
      </c>
    </row>
    <row r="15" spans="2:18" ht="15">
      <c r="B15" s="4" t="s">
        <v>47</v>
      </c>
      <c r="C15" s="64">
        <v>12568248.020210003</v>
      </c>
      <c r="D15" s="64">
        <v>11824831.310789986</v>
      </c>
      <c r="E15" s="64">
        <v>13615557.407089965</v>
      </c>
      <c r="F15" s="64">
        <v>13859356.415509956</v>
      </c>
      <c r="G15" s="65">
        <v>14681760.162800021</v>
      </c>
      <c r="H15" s="64">
        <v>15677538.91424</v>
      </c>
      <c r="I15" s="64">
        <v>17148124.637489986</v>
      </c>
      <c r="J15" s="64">
        <v>17031378.02569999</v>
      </c>
      <c r="L15" s="30">
        <f t="shared" si="1"/>
        <v>-0.05915038501982046</v>
      </c>
      <c r="M15" s="30">
        <f t="shared" si="3"/>
        <v>0.1514377710120878</v>
      </c>
      <c r="N15" s="30">
        <f t="shared" si="4"/>
        <v>0.017905914618893105</v>
      </c>
      <c r="O15" s="30">
        <f t="shared" si="5"/>
        <v>0.059339245101577474</v>
      </c>
      <c r="P15" s="31">
        <f t="shared" si="6"/>
        <v>0.06782420775153639</v>
      </c>
      <c r="Q15" s="30">
        <f t="shared" si="7"/>
        <v>0.09380207769181445</v>
      </c>
      <c r="R15" s="31">
        <f t="shared" si="2"/>
        <v>-0.006808127084331855</v>
      </c>
    </row>
    <row r="16" spans="2:18" ht="15">
      <c r="B16" s="33" t="s">
        <v>48</v>
      </c>
      <c r="C16" s="34">
        <f aca="true" t="shared" si="8" ref="C16:J16">SUM(C17:C18)</f>
        <v>233067.59999999998</v>
      </c>
      <c r="D16" s="34">
        <f t="shared" si="8"/>
        <v>1062334.8023700004</v>
      </c>
      <c r="E16" s="34">
        <f t="shared" si="8"/>
        <v>433425.66039999994</v>
      </c>
      <c r="F16" s="34">
        <f t="shared" si="8"/>
        <v>308953.32805999997</v>
      </c>
      <c r="G16" s="35">
        <f t="shared" si="8"/>
        <v>694073.6397700001</v>
      </c>
      <c r="H16" s="34">
        <f t="shared" si="8"/>
        <v>256866.7379099999</v>
      </c>
      <c r="I16" s="34">
        <f t="shared" si="8"/>
        <v>363514.35630999994</v>
      </c>
      <c r="J16" s="34">
        <f t="shared" si="8"/>
        <v>1962921.0124000004</v>
      </c>
      <c r="L16" s="36">
        <f t="shared" si="1"/>
        <v>3.558054411552702</v>
      </c>
      <c r="M16" s="36">
        <f t="shared" si="3"/>
        <v>-0.5920065318079994</v>
      </c>
      <c r="N16" s="36">
        <f t="shared" si="4"/>
        <v>-0.2871826560179361</v>
      </c>
      <c r="O16" s="36">
        <f t="shared" si="5"/>
        <v>1.2465323294242303</v>
      </c>
      <c r="P16" s="37">
        <f t="shared" si="6"/>
        <v>-0.6299142869118044</v>
      </c>
      <c r="Q16" s="36">
        <f t="shared" si="7"/>
        <v>0.4151865643163455</v>
      </c>
      <c r="R16" s="37">
        <f t="shared" si="2"/>
        <v>4.399844540736787</v>
      </c>
    </row>
    <row r="17" spans="2:18" ht="15">
      <c r="B17" s="4" t="s">
        <v>234</v>
      </c>
      <c r="C17" s="64">
        <v>123440.9</v>
      </c>
      <c r="D17" s="64">
        <v>565317.7041900003</v>
      </c>
      <c r="E17" s="64">
        <v>264248.4603999999</v>
      </c>
      <c r="F17" s="64">
        <v>181073.92806</v>
      </c>
      <c r="G17" s="65">
        <v>571428.9397700002</v>
      </c>
      <c r="H17" s="64">
        <v>198941.1379099999</v>
      </c>
      <c r="I17" s="64">
        <v>193775.09839999993</v>
      </c>
      <c r="J17" s="64">
        <v>1495332.0799000002</v>
      </c>
      <c r="L17" s="30">
        <f t="shared" si="1"/>
        <v>3.5796628523447276</v>
      </c>
      <c r="M17" s="30">
        <f t="shared" si="3"/>
        <v>-0.5325664516758396</v>
      </c>
      <c r="N17" s="30">
        <f t="shared" si="4"/>
        <v>-0.31475881529866406</v>
      </c>
      <c r="O17" s="30">
        <f t="shared" si="5"/>
        <v>2.155777012694249</v>
      </c>
      <c r="P17" s="31">
        <f t="shared" si="6"/>
        <v>-0.6518532330720358</v>
      </c>
      <c r="Q17" s="30">
        <f t="shared" si="7"/>
        <v>-0.02596767850165342</v>
      </c>
      <c r="R17" s="31">
        <f t="shared" si="2"/>
        <v>6.716843352148703</v>
      </c>
    </row>
    <row r="18" spans="2:18" ht="15">
      <c r="B18" s="4" t="s">
        <v>50</v>
      </c>
      <c r="C18" s="64">
        <v>109626.7</v>
      </c>
      <c r="D18" s="64">
        <v>497017.09818000003</v>
      </c>
      <c r="E18" s="64">
        <v>169177.2</v>
      </c>
      <c r="F18" s="64">
        <v>127879.4</v>
      </c>
      <c r="G18" s="65">
        <v>122644.7</v>
      </c>
      <c r="H18" s="64">
        <v>57925.6</v>
      </c>
      <c r="I18" s="64">
        <v>169739.25791</v>
      </c>
      <c r="J18" s="64">
        <v>467588.9325</v>
      </c>
      <c r="L18" s="30">
        <f t="shared" si="1"/>
        <v>3.533723063633221</v>
      </c>
      <c r="M18" s="30">
        <f t="shared" si="3"/>
        <v>-0.6596149295074539</v>
      </c>
      <c r="N18" s="30">
        <f t="shared" si="4"/>
        <v>-0.24410972636974732</v>
      </c>
      <c r="O18" s="30">
        <f t="shared" si="5"/>
        <v>-0.040934661876736965</v>
      </c>
      <c r="P18" s="31">
        <f t="shared" si="6"/>
        <v>-0.5276958564047203</v>
      </c>
      <c r="Q18" s="30">
        <f t="shared" si="7"/>
        <v>1.930297794239507</v>
      </c>
      <c r="R18" s="31">
        <f t="shared" si="2"/>
        <v>1.754748301939245</v>
      </c>
    </row>
    <row r="19" spans="2:18" ht="15">
      <c r="B19" s="33" t="s">
        <v>51</v>
      </c>
      <c r="C19" s="34">
        <f aca="true" t="shared" si="9" ref="C19:J19">SUM(C20:C20)</f>
        <v>14627668.225509964</v>
      </c>
      <c r="D19" s="34">
        <f t="shared" si="9"/>
        <v>16305939.8</v>
      </c>
      <c r="E19" s="34">
        <f t="shared" si="9"/>
        <v>19777406.03934001</v>
      </c>
      <c r="F19" s="34">
        <f t="shared" si="9"/>
        <v>20910871.205649875</v>
      </c>
      <c r="G19" s="35">
        <f t="shared" si="9"/>
        <v>22747752.883080103</v>
      </c>
      <c r="H19" s="34">
        <f t="shared" si="9"/>
        <v>23140967.400879834</v>
      </c>
      <c r="I19" s="34">
        <f t="shared" si="9"/>
        <v>22905034.75080004</v>
      </c>
      <c r="J19" s="34">
        <f t="shared" si="9"/>
        <v>19568481.233849883</v>
      </c>
      <c r="L19" s="36">
        <f t="shared" si="1"/>
        <v>0.11473267978304363</v>
      </c>
      <c r="M19" s="36">
        <f t="shared" si="3"/>
        <v>0.21289580863900961</v>
      </c>
      <c r="N19" s="36">
        <f t="shared" si="4"/>
        <v>0.05731111370496431</v>
      </c>
      <c r="O19" s="36">
        <f t="shared" si="5"/>
        <v>0.08784338344228926</v>
      </c>
      <c r="P19" s="37">
        <f t="shared" si="6"/>
        <v>0.01728586202869323</v>
      </c>
      <c r="Q19" s="36">
        <f t="shared" si="7"/>
        <v>-0.010195453197467619</v>
      </c>
      <c r="R19" s="37">
        <f t="shared" si="2"/>
        <v>-0.14566900042941938</v>
      </c>
    </row>
    <row r="20" spans="2:18" ht="15">
      <c r="B20" s="4" t="s">
        <v>52</v>
      </c>
      <c r="C20" s="64">
        <v>14627668.225509964</v>
      </c>
      <c r="D20" s="64">
        <v>16305939.8</v>
      </c>
      <c r="E20" s="64">
        <v>19777406.03934001</v>
      </c>
      <c r="F20" s="64">
        <v>20910871.205649875</v>
      </c>
      <c r="G20" s="65">
        <v>22747752.883080103</v>
      </c>
      <c r="H20" s="64">
        <v>23140967.400879834</v>
      </c>
      <c r="I20" s="64">
        <v>22905034.75080004</v>
      </c>
      <c r="J20" s="64">
        <v>19568481.233849883</v>
      </c>
      <c r="L20" s="30">
        <f t="shared" si="1"/>
        <v>0.11473267978304363</v>
      </c>
      <c r="M20" s="30">
        <f t="shared" si="3"/>
        <v>0.21289580863900961</v>
      </c>
      <c r="N20" s="30">
        <f t="shared" si="4"/>
        <v>0.05731111370496431</v>
      </c>
      <c r="O20" s="30">
        <f t="shared" si="5"/>
        <v>0.08784338344228926</v>
      </c>
      <c r="P20" s="31">
        <f t="shared" si="6"/>
        <v>0.01728586202869323</v>
      </c>
      <c r="Q20" s="30">
        <f t="shared" si="7"/>
        <v>-0.010195453197467619</v>
      </c>
      <c r="R20" s="31">
        <f t="shared" si="2"/>
        <v>-0.14566900042941938</v>
      </c>
    </row>
    <row r="21" spans="2:18" ht="15">
      <c r="B21" s="33" t="s">
        <v>53</v>
      </c>
      <c r="C21" s="34">
        <f>SUM(C22:C23)+0.1</f>
        <v>32059139.721469965</v>
      </c>
      <c r="D21" s="34">
        <f>SUM(D22:D23)</f>
        <v>34116635.57477993</v>
      </c>
      <c r="E21" s="34">
        <v>26639149.1</v>
      </c>
      <c r="F21" s="34">
        <f>SUM(F22:F23)</f>
        <v>32151580.5</v>
      </c>
      <c r="G21" s="35">
        <f>SUM(G22:G23)</f>
        <v>36198272.37469007</v>
      </c>
      <c r="H21" s="34">
        <f>SUM(H22:H23)</f>
        <v>47003768.8</v>
      </c>
      <c r="I21" s="34">
        <f>SUM(I22:I23)</f>
        <v>59074879.841190115</v>
      </c>
      <c r="J21" s="34">
        <f>SUM(J22:J23)</f>
        <v>69146839.49796978</v>
      </c>
      <c r="L21" s="36">
        <f t="shared" si="1"/>
        <v>0.06417813675555556</v>
      </c>
      <c r="M21" s="36">
        <f t="shared" si="3"/>
        <v>-0.219174204865251</v>
      </c>
      <c r="N21" s="36">
        <f t="shared" si="4"/>
        <v>0.20692971007846486</v>
      </c>
      <c r="O21" s="36">
        <f t="shared" si="5"/>
        <v>0.12586292218791767</v>
      </c>
      <c r="P21" s="37">
        <f t="shared" si="6"/>
        <v>0.2985086225514221</v>
      </c>
      <c r="Q21" s="36">
        <f t="shared" si="7"/>
        <v>0.2568115568041454</v>
      </c>
      <c r="R21" s="37">
        <f t="shared" si="2"/>
        <v>0.1704947971770052</v>
      </c>
    </row>
    <row r="22" spans="2:18" ht="15">
      <c r="B22" s="4" t="s">
        <v>54</v>
      </c>
      <c r="C22" s="64">
        <v>12307353.571060002</v>
      </c>
      <c r="D22" s="64">
        <v>13946559.4</v>
      </c>
      <c r="E22" s="64">
        <v>10343902.3</v>
      </c>
      <c r="F22" s="64">
        <v>10588614.4</v>
      </c>
      <c r="G22" s="65">
        <v>12958306.426280003</v>
      </c>
      <c r="H22" s="64">
        <v>21029424.2</v>
      </c>
      <c r="I22" s="64">
        <v>30602594.540230013</v>
      </c>
      <c r="J22" s="64">
        <v>29325996.074650005</v>
      </c>
      <c r="L22" s="30">
        <f t="shared" si="1"/>
        <v>0.13318913927966544</v>
      </c>
      <c r="M22" s="30">
        <f t="shared" si="3"/>
        <v>-0.2583187004531024</v>
      </c>
      <c r="N22" s="30">
        <f t="shared" si="4"/>
        <v>0.023657619039963246</v>
      </c>
      <c r="O22" s="30">
        <f t="shared" si="5"/>
        <v>0.2237962340266166</v>
      </c>
      <c r="P22" s="31">
        <f t="shared" si="6"/>
        <v>0.6228528256864972</v>
      </c>
      <c r="Q22" s="30">
        <f t="shared" si="7"/>
        <v>0.45522741132541394</v>
      </c>
      <c r="R22" s="31">
        <f t="shared" si="2"/>
        <v>-0.04171536710398196</v>
      </c>
    </row>
    <row r="23" spans="2:18" ht="15">
      <c r="B23" s="66" t="s">
        <v>55</v>
      </c>
      <c r="C23" s="67">
        <v>19751786.05040996</v>
      </c>
      <c r="D23" s="67">
        <v>20170076.17477993</v>
      </c>
      <c r="E23" s="67">
        <v>16295246.730900034</v>
      </c>
      <c r="F23" s="67">
        <v>21562966.1</v>
      </c>
      <c r="G23" s="68">
        <v>23239965.948410068</v>
      </c>
      <c r="H23" s="67">
        <v>25974344.6</v>
      </c>
      <c r="I23" s="67">
        <v>28472285.300960097</v>
      </c>
      <c r="J23" s="67">
        <v>39820843.42331977</v>
      </c>
      <c r="L23" s="38">
        <f t="shared" si="1"/>
        <v>0.021177331675344156</v>
      </c>
      <c r="M23" s="38">
        <f t="shared" si="3"/>
        <v>-0.19210782400142187</v>
      </c>
      <c r="N23" s="38">
        <f t="shared" si="4"/>
        <v>0.32326723590573186</v>
      </c>
      <c r="O23" s="38">
        <f t="shared" si="5"/>
        <v>0.07777222487077351</v>
      </c>
      <c r="P23" s="39">
        <f t="shared" si="6"/>
        <v>0.1176584620502425</v>
      </c>
      <c r="Q23" s="38">
        <f t="shared" si="7"/>
        <v>0.0961695372656331</v>
      </c>
      <c r="R23" s="39">
        <f t="shared" si="2"/>
        <v>0.3985826217461019</v>
      </c>
    </row>
    <row r="24" spans="2:18" ht="15">
      <c r="B24" s="62"/>
      <c r="C24" s="69"/>
      <c r="D24" s="69"/>
      <c r="E24" s="69"/>
      <c r="F24" s="69"/>
      <c r="G24" s="69"/>
      <c r="H24" s="69"/>
      <c r="I24" s="69"/>
      <c r="J24" s="69"/>
      <c r="L24" s="69"/>
      <c r="M24" s="69"/>
      <c r="N24" s="69"/>
      <c r="O24" s="69"/>
      <c r="P24" s="69"/>
      <c r="Q24" s="69"/>
      <c r="R24" s="69"/>
    </row>
    <row r="25" spans="2:18" ht="15">
      <c r="B25" s="44" t="s">
        <v>19</v>
      </c>
      <c r="C25" s="40">
        <f>SUM(C11+C16+C19+C21)</f>
        <v>135963821.94166008</v>
      </c>
      <c r="D25" s="40">
        <f>SUM(D11+D16+D19+D21)</f>
        <v>156113678.36194986</v>
      </c>
      <c r="E25" s="40">
        <f>SUM(E11+E16+E19+E21)</f>
        <v>169948839.7435802</v>
      </c>
      <c r="F25" s="40">
        <f>SUM(F11+F16+F19+F21)</f>
        <v>186717532.92860982</v>
      </c>
      <c r="G25" s="40">
        <f>SUM(G11+G16+G19+G21)</f>
        <v>203667831.1603402</v>
      </c>
      <c r="H25" s="40">
        <v>223163918.25302982</v>
      </c>
      <c r="I25" s="40">
        <f>SUM(I11,I16,I19,I21)</f>
        <v>228327104.43938035</v>
      </c>
      <c r="J25" s="40">
        <f>SUM(J11,J16,J19,J21)</f>
        <v>238412053.8034994</v>
      </c>
      <c r="L25" s="41">
        <f>(D25-C25)/C25</f>
        <v>0.14820013245093808</v>
      </c>
      <c r="M25" s="41">
        <f>(E25-D25)/D25</f>
        <v>0.08862235216541041</v>
      </c>
      <c r="N25" s="41">
        <f>(F25-E25)/E25</f>
        <v>0.09866906541009829</v>
      </c>
      <c r="O25" s="41">
        <f>(G25-F25)/F25</f>
        <v>0.09078043162776366</v>
      </c>
      <c r="P25" s="41">
        <f>(H25-G25)/G25</f>
        <v>0.09572492121910545</v>
      </c>
      <c r="Q25" s="41">
        <f t="shared" si="7"/>
        <v>0.023136294732450217</v>
      </c>
      <c r="R25" s="41">
        <f t="shared" si="2"/>
        <v>0.04416886636775335</v>
      </c>
    </row>
    <row r="26" spans="3:10" ht="12.75">
      <c r="C26" s="42"/>
      <c r="D26" s="42"/>
      <c r="E26" s="42"/>
      <c r="F26" s="42"/>
      <c r="G26" s="42"/>
      <c r="H26" s="42"/>
      <c r="I26" s="42"/>
      <c r="J26" s="42"/>
    </row>
    <row r="27" spans="2:10" ht="15">
      <c r="B27" s="62" t="s">
        <v>56</v>
      </c>
      <c r="C27" s="42"/>
      <c r="D27" s="42"/>
      <c r="F27" s="42"/>
      <c r="G27" s="42"/>
      <c r="H27" s="42"/>
      <c r="I27" s="42"/>
      <c r="J27" s="42"/>
    </row>
    <row r="28" spans="3:10" ht="12.75">
      <c r="C28" s="42"/>
      <c r="D28" s="42"/>
      <c r="E28" s="42"/>
      <c r="F28" s="42"/>
      <c r="G28" s="42"/>
      <c r="H28" s="42"/>
      <c r="I28" s="42"/>
      <c r="J28" s="42"/>
    </row>
    <row r="30" spans="2:10" ht="15.75">
      <c r="B30" s="206" t="s">
        <v>13</v>
      </c>
      <c r="C30" s="206"/>
      <c r="D30" s="206"/>
      <c r="E30" s="206"/>
      <c r="F30" s="206"/>
      <c r="G30" s="206"/>
      <c r="H30" s="206"/>
      <c r="I30" s="206"/>
      <c r="J30" s="206"/>
    </row>
    <row r="31" spans="2:10" ht="15.75">
      <c r="B31" s="206" t="s">
        <v>57</v>
      </c>
      <c r="C31" s="206"/>
      <c r="D31" s="206"/>
      <c r="E31" s="206"/>
      <c r="F31" s="206"/>
      <c r="G31" s="206"/>
      <c r="H31" s="206"/>
      <c r="I31" s="206"/>
      <c r="J31" s="206"/>
    </row>
    <row r="32" spans="2:10" ht="15.75">
      <c r="B32" s="206" t="s">
        <v>238</v>
      </c>
      <c r="C32" s="206"/>
      <c r="D32" s="206"/>
      <c r="E32" s="206"/>
      <c r="F32" s="206"/>
      <c r="G32" s="206"/>
      <c r="H32" s="206"/>
      <c r="I32" s="206"/>
      <c r="J32" s="206"/>
    </row>
    <row r="35" spans="2:18" ht="15">
      <c r="B35" s="208" t="s">
        <v>58</v>
      </c>
      <c r="C35" s="210" t="s">
        <v>31</v>
      </c>
      <c r="D35" s="210" t="s">
        <v>32</v>
      </c>
      <c r="E35" s="210" t="s">
        <v>33</v>
      </c>
      <c r="F35" s="210" t="s">
        <v>34</v>
      </c>
      <c r="G35" s="210" t="s">
        <v>35</v>
      </c>
      <c r="H35" s="210" t="s">
        <v>36</v>
      </c>
      <c r="I35" s="212" t="s">
        <v>232</v>
      </c>
      <c r="J35" s="212" t="s">
        <v>246</v>
      </c>
      <c r="K35" s="62"/>
      <c r="L35" s="214" t="s">
        <v>37</v>
      </c>
      <c r="M35" s="215"/>
      <c r="N35" s="215"/>
      <c r="O35" s="215"/>
      <c r="P35" s="215"/>
      <c r="Q35" s="215"/>
      <c r="R35" s="216"/>
    </row>
    <row r="36" spans="2:18" ht="15">
      <c r="B36" s="209"/>
      <c r="C36" s="211"/>
      <c r="D36" s="211"/>
      <c r="E36" s="211"/>
      <c r="F36" s="211"/>
      <c r="G36" s="211"/>
      <c r="H36" s="211"/>
      <c r="I36" s="213"/>
      <c r="J36" s="213"/>
      <c r="K36" s="62"/>
      <c r="L36" s="70" t="s">
        <v>38</v>
      </c>
      <c r="M36" s="70" t="s">
        <v>39</v>
      </c>
      <c r="N36" s="70" t="s">
        <v>40</v>
      </c>
      <c r="O36" s="70" t="s">
        <v>41</v>
      </c>
      <c r="P36" s="70" t="s">
        <v>42</v>
      </c>
      <c r="Q36" s="70" t="s">
        <v>233</v>
      </c>
      <c r="R36" s="70" t="s">
        <v>247</v>
      </c>
    </row>
    <row r="37" spans="2:18" ht="15">
      <c r="B37" s="62"/>
      <c r="C37" s="43"/>
      <c r="D37" s="43"/>
      <c r="E37" s="63"/>
      <c r="F37" s="63"/>
      <c r="G37" s="63"/>
      <c r="H37" s="63"/>
      <c r="I37" s="63"/>
      <c r="J37" s="63"/>
      <c r="K37" s="62"/>
      <c r="L37" s="62"/>
      <c r="M37" s="62"/>
      <c r="N37" s="62"/>
      <c r="O37" s="62"/>
      <c r="P37" s="62"/>
      <c r="Q37" s="62"/>
      <c r="R37" s="62"/>
    </row>
    <row r="38" spans="2:18" ht="15">
      <c r="B38" s="25" t="s">
        <v>59</v>
      </c>
      <c r="C38" s="26">
        <f>SUM(C39:C43)-0.1</f>
        <v>77261982.06125969</v>
      </c>
      <c r="D38" s="26">
        <f aca="true" t="shared" si="10" ref="D38:J38">SUM(D39:D43)</f>
        <v>84709144.65700987</v>
      </c>
      <c r="E38" s="26">
        <f t="shared" si="10"/>
        <v>98913118.78485987</v>
      </c>
      <c r="F38" s="26">
        <f t="shared" si="10"/>
        <v>102670439.4465605</v>
      </c>
      <c r="G38" s="26">
        <f t="shared" si="10"/>
        <v>116388878.53295071</v>
      </c>
      <c r="H38" s="26">
        <f t="shared" si="10"/>
        <v>129194716.37712029</v>
      </c>
      <c r="I38" s="26">
        <f t="shared" si="10"/>
        <v>133617335.3445305</v>
      </c>
      <c r="J38" s="26">
        <f t="shared" si="10"/>
        <v>137262728.63519022</v>
      </c>
      <c r="K38" s="62"/>
      <c r="L38" s="29">
        <f aca="true" t="shared" si="11" ref="L38:Q38">(D38-C38)/C38</f>
        <v>0.09638844871783715</v>
      </c>
      <c r="M38" s="29">
        <f t="shared" si="11"/>
        <v>0.1676793477889826</v>
      </c>
      <c r="N38" s="29">
        <f t="shared" si="11"/>
        <v>0.037986070077043715</v>
      </c>
      <c r="O38" s="28">
        <f t="shared" si="11"/>
        <v>0.13361624982164996</v>
      </c>
      <c r="P38" s="28">
        <f t="shared" si="11"/>
        <v>0.11002630152969578</v>
      </c>
      <c r="Q38" s="29">
        <f t="shared" si="11"/>
        <v>0.03423219688412451</v>
      </c>
      <c r="R38" s="29">
        <f>(J38-I38)/I38</f>
        <v>0.02728233788871877</v>
      </c>
    </row>
    <row r="39" spans="2:18" ht="15">
      <c r="B39" s="4" t="s">
        <v>60</v>
      </c>
      <c r="C39" s="64">
        <v>24558646.72269978</v>
      </c>
      <c r="D39" s="64">
        <v>25897921.15253011</v>
      </c>
      <c r="E39" s="64">
        <v>28152784.248450186</v>
      </c>
      <c r="F39" s="64">
        <v>30852650.04359037</v>
      </c>
      <c r="G39" s="64">
        <v>34792313.64032004</v>
      </c>
      <c r="H39" s="64">
        <v>40153973.17817007</v>
      </c>
      <c r="I39" s="64">
        <v>41985072.71992011</v>
      </c>
      <c r="J39" s="64">
        <v>46013733.55494017</v>
      </c>
      <c r="K39" s="62"/>
      <c r="L39" s="71">
        <f aca="true" t="shared" si="12" ref="L39:L50">(D39-C39)/C39</f>
        <v>0.0545337226823833</v>
      </c>
      <c r="M39" s="71">
        <f aca="true" t="shared" si="13" ref="M39:M48">(E39-D39)/D39</f>
        <v>0.08706733959995028</v>
      </c>
      <c r="N39" s="71">
        <f aca="true" t="shared" si="14" ref="N39:N48">(F39-E39)/E39</f>
        <v>0.09590048967497104</v>
      </c>
      <c r="O39" s="150">
        <f aca="true" t="shared" si="15" ref="O39:O48">(G39-F39)/F39</f>
        <v>0.12769287536608653</v>
      </c>
      <c r="P39" s="30">
        <f aca="true" t="shared" si="16" ref="P39:P50">(H39-G39)/G39</f>
        <v>0.15410471385370939</v>
      </c>
      <c r="Q39" s="31">
        <f aca="true" t="shared" si="17" ref="Q39:Q50">(I39-H39)/H39</f>
        <v>0.045601951608254074</v>
      </c>
      <c r="R39" s="31">
        <f aca="true" t="shared" si="18" ref="R39:R50">(J39-I39)/I39</f>
        <v>0.09595459943335126</v>
      </c>
    </row>
    <row r="40" spans="2:18" ht="15">
      <c r="B40" s="4" t="s">
        <v>61</v>
      </c>
      <c r="C40" s="64">
        <v>11709137.8</v>
      </c>
      <c r="D40" s="64">
        <v>12075019.086289983</v>
      </c>
      <c r="E40" s="64">
        <v>12574076.52101995</v>
      </c>
      <c r="F40" s="64">
        <v>12788201.19987992</v>
      </c>
      <c r="G40" s="64">
        <v>13177988.263679976</v>
      </c>
      <c r="H40" s="64">
        <v>14681610.722179987</v>
      </c>
      <c r="I40" s="64">
        <v>13930884.648359988</v>
      </c>
      <c r="J40" s="64">
        <v>14237484.789359983</v>
      </c>
      <c r="K40" s="62"/>
      <c r="L40" s="71">
        <f t="shared" si="12"/>
        <v>0.031247500246344567</v>
      </c>
      <c r="M40" s="71">
        <f t="shared" si="13"/>
        <v>0.04132974293155352</v>
      </c>
      <c r="N40" s="71">
        <f t="shared" si="14"/>
        <v>0.01702905803873705</v>
      </c>
      <c r="O40" s="150">
        <f t="shared" si="15"/>
        <v>0.030480210446150596</v>
      </c>
      <c r="P40" s="30">
        <f t="shared" si="16"/>
        <v>0.11410106219658461</v>
      </c>
      <c r="Q40" s="31">
        <f t="shared" si="17"/>
        <v>-0.05113376781512483</v>
      </c>
      <c r="R40" s="31">
        <f t="shared" si="18"/>
        <v>0.022008662675710954</v>
      </c>
    </row>
    <row r="41" spans="2:18" ht="15">
      <c r="B41" s="4" t="s">
        <v>62</v>
      </c>
      <c r="C41" s="64">
        <v>28206031.62499987</v>
      </c>
      <c r="D41" s="64">
        <v>33765114.4559298</v>
      </c>
      <c r="E41" s="64">
        <v>40046645.68260973</v>
      </c>
      <c r="F41" s="64">
        <v>43714137.78517021</v>
      </c>
      <c r="G41" s="64">
        <v>49490482.198560685</v>
      </c>
      <c r="H41" s="64">
        <v>53241537.897330195</v>
      </c>
      <c r="I41" s="64">
        <v>54309233.40507037</v>
      </c>
      <c r="J41" s="64">
        <v>56766328.689620085</v>
      </c>
      <c r="K41" s="62"/>
      <c r="L41" s="71">
        <f t="shared" si="12"/>
        <v>0.19708844210479953</v>
      </c>
      <c r="M41" s="71">
        <f t="shared" si="13"/>
        <v>0.18603613012710435</v>
      </c>
      <c r="N41" s="71">
        <f t="shared" si="14"/>
        <v>0.09158050668281295</v>
      </c>
      <c r="O41" s="150">
        <f t="shared" si="15"/>
        <v>0.132139044850384</v>
      </c>
      <c r="P41" s="30">
        <f t="shared" si="16"/>
        <v>0.07579347648543623</v>
      </c>
      <c r="Q41" s="31">
        <f t="shared" si="17"/>
        <v>0.020053806668753588</v>
      </c>
      <c r="R41" s="31">
        <f t="shared" si="18"/>
        <v>0.0452426803048985</v>
      </c>
    </row>
    <row r="42" spans="2:18" ht="15">
      <c r="B42" s="4" t="s">
        <v>52</v>
      </c>
      <c r="C42" s="64">
        <v>6603903.599550002</v>
      </c>
      <c r="D42" s="64">
        <v>7492810.058409993</v>
      </c>
      <c r="E42" s="64">
        <v>10732297.160430005</v>
      </c>
      <c r="F42" s="64">
        <v>9457818.605949996</v>
      </c>
      <c r="G42" s="64">
        <v>10803677.713059997</v>
      </c>
      <c r="H42" s="64">
        <v>11507379.833230011</v>
      </c>
      <c r="I42" s="64">
        <v>12709324.24009999</v>
      </c>
      <c r="J42" s="64">
        <v>9642010.859230004</v>
      </c>
      <c r="K42" s="62"/>
      <c r="L42" s="71">
        <f t="shared" si="12"/>
        <v>0.13460318514046168</v>
      </c>
      <c r="M42" s="71">
        <f t="shared" si="13"/>
        <v>0.4323460860166854</v>
      </c>
      <c r="N42" s="71">
        <f t="shared" si="14"/>
        <v>-0.11875170202880825</v>
      </c>
      <c r="O42" s="150">
        <f t="shared" si="15"/>
        <v>0.14230121798522435</v>
      </c>
      <c r="P42" s="30">
        <f t="shared" si="16"/>
        <v>0.0651354232197565</v>
      </c>
      <c r="Q42" s="31">
        <f t="shared" si="17"/>
        <v>0.10444987688675306</v>
      </c>
      <c r="R42" s="31">
        <f t="shared" si="18"/>
        <v>-0.24134354611806288</v>
      </c>
    </row>
    <row r="43" spans="2:18" ht="15">
      <c r="B43" s="4" t="s">
        <v>63</v>
      </c>
      <c r="C43" s="64">
        <v>6184262.414010012</v>
      </c>
      <c r="D43" s="64">
        <v>5478279.903849997</v>
      </c>
      <c r="E43" s="64">
        <v>7407315.172349997</v>
      </c>
      <c r="F43" s="64">
        <v>5857631.8119699955</v>
      </c>
      <c r="G43" s="64">
        <v>8124416.717330017</v>
      </c>
      <c r="H43" s="64">
        <v>9610214.746210005</v>
      </c>
      <c r="I43" s="64">
        <v>10682820.331080021</v>
      </c>
      <c r="J43" s="64">
        <v>10603170.74203999</v>
      </c>
      <c r="K43" s="62"/>
      <c r="L43" s="71">
        <f t="shared" si="12"/>
        <v>-0.11415791615838636</v>
      </c>
      <c r="M43" s="71">
        <f t="shared" si="13"/>
        <v>0.35212426205976133</v>
      </c>
      <c r="N43" s="71">
        <f t="shared" si="14"/>
        <v>-0.20920985867654918</v>
      </c>
      <c r="O43" s="150">
        <f t="shared" si="15"/>
        <v>0.38697975190722567</v>
      </c>
      <c r="P43" s="30">
        <f t="shared" si="16"/>
        <v>0.18288057845564032</v>
      </c>
      <c r="Q43" s="31">
        <f t="shared" si="17"/>
        <v>0.11161099030518765</v>
      </c>
      <c r="R43" s="31">
        <f t="shared" si="18"/>
        <v>-0.007455857776462217</v>
      </c>
    </row>
    <row r="44" spans="2:18" ht="15">
      <c r="B44" s="33" t="s">
        <v>64</v>
      </c>
      <c r="C44" s="34">
        <f aca="true" t="shared" si="19" ref="C44:J44">SUM(C45:C46)</f>
        <v>23058133.942160267</v>
      </c>
      <c r="D44" s="34">
        <f t="shared" si="19"/>
        <v>27531689.459890064</v>
      </c>
      <c r="E44" s="34">
        <f t="shared" si="19"/>
        <v>25697779.431880042</v>
      </c>
      <c r="F44" s="34">
        <f t="shared" si="19"/>
        <v>31108731.306990176</v>
      </c>
      <c r="G44" s="34">
        <f t="shared" si="19"/>
        <v>35210850.85934027</v>
      </c>
      <c r="H44" s="34">
        <f t="shared" si="19"/>
        <v>37530395.86399</v>
      </c>
      <c r="I44" s="34">
        <f t="shared" si="19"/>
        <v>37684916.295300156</v>
      </c>
      <c r="J44" s="34">
        <f t="shared" si="19"/>
        <v>37077631.03752988</v>
      </c>
      <c r="K44" s="62"/>
      <c r="L44" s="37">
        <f t="shared" si="12"/>
        <v>0.1940120362277104</v>
      </c>
      <c r="M44" s="37">
        <f t="shared" si="13"/>
        <v>-0.06661087873600274</v>
      </c>
      <c r="N44" s="37">
        <f t="shared" si="14"/>
        <v>0.21056106771612487</v>
      </c>
      <c r="O44" s="36">
        <f t="shared" si="15"/>
        <v>0.13186392951448792</v>
      </c>
      <c r="P44" s="36">
        <f t="shared" si="16"/>
        <v>0.06587585781200826</v>
      </c>
      <c r="Q44" s="37">
        <f t="shared" si="17"/>
        <v>0.004117207606073112</v>
      </c>
      <c r="R44" s="37">
        <f t="shared" si="18"/>
        <v>-0.01611480978255522</v>
      </c>
    </row>
    <row r="45" spans="2:18" ht="15">
      <c r="B45" s="4" t="s">
        <v>65</v>
      </c>
      <c r="C45" s="64">
        <v>22974606.94328027</v>
      </c>
      <c r="D45" s="64">
        <v>26823024.159890063</v>
      </c>
      <c r="E45" s="64">
        <v>25254187.410530042</v>
      </c>
      <c r="F45" s="64">
        <v>30198295.267680176</v>
      </c>
      <c r="G45" s="64">
        <v>34441586.88317027</v>
      </c>
      <c r="H45" s="64">
        <v>36451836.4</v>
      </c>
      <c r="I45" s="64">
        <v>36720043.46124016</v>
      </c>
      <c r="J45" s="64">
        <v>35487868.91016988</v>
      </c>
      <c r="K45" s="62"/>
      <c r="L45" s="71">
        <f t="shared" si="12"/>
        <v>0.16750742357032575</v>
      </c>
      <c r="M45" s="71">
        <f t="shared" si="13"/>
        <v>-0.05848843665085269</v>
      </c>
      <c r="N45" s="71">
        <f t="shared" si="14"/>
        <v>0.19577378502737441</v>
      </c>
      <c r="O45" s="150">
        <f t="shared" si="15"/>
        <v>0.14051427664632085</v>
      </c>
      <c r="P45" s="30">
        <f t="shared" si="16"/>
        <v>0.05836692495176605</v>
      </c>
      <c r="Q45" s="31">
        <f t="shared" si="17"/>
        <v>0.007357847717108677</v>
      </c>
      <c r="R45" s="31">
        <f t="shared" si="18"/>
        <v>-0.033555912110259406</v>
      </c>
    </row>
    <row r="46" spans="2:18" ht="15">
      <c r="B46" s="4" t="s">
        <v>66</v>
      </c>
      <c r="C46" s="64">
        <v>83526.99888</v>
      </c>
      <c r="D46" s="64">
        <v>708665.3</v>
      </c>
      <c r="E46" s="64">
        <v>443592.02135</v>
      </c>
      <c r="F46" s="64">
        <v>910436.03931</v>
      </c>
      <c r="G46" s="64">
        <v>769263.97617</v>
      </c>
      <c r="H46" s="64">
        <v>1078559.4639900003</v>
      </c>
      <c r="I46" s="64">
        <v>964872.8340599999</v>
      </c>
      <c r="J46" s="64">
        <v>1589762.12736</v>
      </c>
      <c r="K46" s="62"/>
      <c r="L46" s="71">
        <f t="shared" si="12"/>
        <v>7.484266279195689</v>
      </c>
      <c r="M46" s="71">
        <f t="shared" si="13"/>
        <v>-0.3740457994062924</v>
      </c>
      <c r="N46" s="71">
        <f t="shared" si="14"/>
        <v>1.0524175266706475</v>
      </c>
      <c r="O46" s="150">
        <f t="shared" si="15"/>
        <v>-0.1550598362153933</v>
      </c>
      <c r="P46" s="30">
        <f t="shared" si="16"/>
        <v>0.4020667773368461</v>
      </c>
      <c r="Q46" s="31">
        <f t="shared" si="17"/>
        <v>-0.10540599171920523</v>
      </c>
      <c r="R46" s="31">
        <f t="shared" si="18"/>
        <v>0.6476390165018802</v>
      </c>
    </row>
    <row r="47" spans="2:18" ht="15">
      <c r="B47" s="33" t="s">
        <v>67</v>
      </c>
      <c r="C47" s="34">
        <f>SUM(C48:C48)</f>
        <v>12692463.548950007</v>
      </c>
      <c r="D47" s="34">
        <f aca="true" t="shared" si="20" ref="D47:J47">SUM(D48)</f>
        <v>13522653.034010002</v>
      </c>
      <c r="E47" s="34">
        <f t="shared" si="20"/>
        <v>13955052.554150013</v>
      </c>
      <c r="F47" s="34">
        <f t="shared" si="20"/>
        <v>13701734.173590017</v>
      </c>
      <c r="G47" s="34">
        <f t="shared" si="20"/>
        <v>17536954.87824999</v>
      </c>
      <c r="H47" s="34">
        <f t="shared" si="20"/>
        <v>20002902.64268998</v>
      </c>
      <c r="I47" s="34">
        <f t="shared" si="20"/>
        <v>20821147.21269</v>
      </c>
      <c r="J47" s="34">
        <f t="shared" si="20"/>
        <v>18232461.90747999</v>
      </c>
      <c r="K47" s="62"/>
      <c r="L47" s="37">
        <f t="shared" si="12"/>
        <v>0.06540806533406773</v>
      </c>
      <c r="M47" s="37">
        <f t="shared" si="13"/>
        <v>0.031975938379289116</v>
      </c>
      <c r="N47" s="37">
        <f t="shared" si="14"/>
        <v>-0.018152449055783948</v>
      </c>
      <c r="O47" s="36">
        <f t="shared" si="15"/>
        <v>0.27990768584989273</v>
      </c>
      <c r="P47" s="36">
        <f t="shared" si="16"/>
        <v>0.14061436444124928</v>
      </c>
      <c r="Q47" s="37">
        <f t="shared" si="17"/>
        <v>0.04090629168257461</v>
      </c>
      <c r="R47" s="37">
        <f t="shared" si="18"/>
        <v>-0.12432961924558443</v>
      </c>
    </row>
    <row r="48" spans="2:18" ht="15">
      <c r="B48" s="66" t="s">
        <v>68</v>
      </c>
      <c r="C48" s="67">
        <v>12692463.548950007</v>
      </c>
      <c r="D48" s="67">
        <v>13522653.034010002</v>
      </c>
      <c r="E48" s="64">
        <v>13955052.554150013</v>
      </c>
      <c r="F48" s="67">
        <v>13701734.173590017</v>
      </c>
      <c r="G48" s="67">
        <v>17536954.87824999</v>
      </c>
      <c r="H48" s="67">
        <v>20002902.64268998</v>
      </c>
      <c r="I48" s="67">
        <v>20821147.21269</v>
      </c>
      <c r="J48" s="67">
        <v>18232461.90747999</v>
      </c>
      <c r="K48" s="62"/>
      <c r="L48" s="72">
        <f t="shared" si="12"/>
        <v>0.06540806533406773</v>
      </c>
      <c r="M48" s="72">
        <f t="shared" si="13"/>
        <v>0.031975938379289116</v>
      </c>
      <c r="N48" s="72">
        <f t="shared" si="14"/>
        <v>-0.018152449055783948</v>
      </c>
      <c r="O48" s="151">
        <f t="shared" si="15"/>
        <v>0.27990768584989273</v>
      </c>
      <c r="P48" s="38">
        <f t="shared" si="16"/>
        <v>0.14061436444124928</v>
      </c>
      <c r="Q48" s="39">
        <f t="shared" si="17"/>
        <v>0.04090629168257461</v>
      </c>
      <c r="R48" s="39">
        <f t="shared" si="18"/>
        <v>-0.12432961924558443</v>
      </c>
    </row>
    <row r="49" spans="2:18" ht="15">
      <c r="B49" s="62"/>
      <c r="C49" s="69"/>
      <c r="D49" s="69"/>
      <c r="E49" s="73"/>
      <c r="F49" s="65"/>
      <c r="G49" s="65"/>
      <c r="H49" s="65"/>
      <c r="I49" s="65"/>
      <c r="J49" s="65"/>
      <c r="K49" s="62"/>
      <c r="L49" s="74"/>
      <c r="M49" s="74"/>
      <c r="N49" s="74"/>
      <c r="O49" s="74"/>
      <c r="P49" s="74"/>
      <c r="Q49" s="74"/>
      <c r="R49" s="74"/>
    </row>
    <row r="50" spans="2:18" ht="15">
      <c r="B50" s="44" t="s">
        <v>20</v>
      </c>
      <c r="C50" s="40">
        <f>SUM(C38+C44+C47)</f>
        <v>113012579.55236995</v>
      </c>
      <c r="D50" s="40">
        <f>SUM(D38+D44+D47)</f>
        <v>125763487.15090995</v>
      </c>
      <c r="E50" s="45">
        <f aca="true" t="shared" si="21" ref="E50:J50">SUM(E38,E44,E47)</f>
        <v>138565950.7708899</v>
      </c>
      <c r="F50" s="40">
        <f t="shared" si="21"/>
        <v>147480904.92714068</v>
      </c>
      <c r="G50" s="40">
        <f t="shared" si="21"/>
        <v>169136684.27054098</v>
      </c>
      <c r="H50" s="40">
        <f t="shared" si="21"/>
        <v>186728014.88380027</v>
      </c>
      <c r="I50" s="40">
        <f t="shared" si="21"/>
        <v>192123398.85252064</v>
      </c>
      <c r="J50" s="40">
        <f t="shared" si="21"/>
        <v>192572821.5802001</v>
      </c>
      <c r="K50" s="62"/>
      <c r="L50" s="41">
        <f t="shared" si="12"/>
        <v>0.11282732992242896</v>
      </c>
      <c r="M50" s="41">
        <f>(E50-D50)/D50</f>
        <v>0.10179793762093796</v>
      </c>
      <c r="N50" s="41">
        <f>(F50-E50)/E50</f>
        <v>0.06433726400067136</v>
      </c>
      <c r="O50" s="41">
        <f>(G50-F50)/F50</f>
        <v>0.1468378523585735</v>
      </c>
      <c r="P50" s="41">
        <f t="shared" si="16"/>
        <v>0.10400659495678205</v>
      </c>
      <c r="Q50" s="41">
        <f t="shared" si="17"/>
        <v>0.02889434652897634</v>
      </c>
      <c r="R50" s="188">
        <f t="shared" si="18"/>
        <v>0.0023392399383088723</v>
      </c>
    </row>
    <row r="51" spans="3:4" ht="12.75">
      <c r="C51" s="42"/>
      <c r="D51" s="42"/>
    </row>
    <row r="52" ht="15">
      <c r="B52" s="62" t="s">
        <v>56</v>
      </c>
    </row>
  </sheetData>
  <sheetProtection/>
  <mergeCells count="27">
    <mergeCell ref="L8:R8"/>
    <mergeCell ref="L35:R35"/>
    <mergeCell ref="B35:B36"/>
    <mergeCell ref="C35:C36"/>
    <mergeCell ref="G35:G36"/>
    <mergeCell ref="I35:I36"/>
    <mergeCell ref="B30:J30"/>
    <mergeCell ref="B31:J31"/>
    <mergeCell ref="D35:D36"/>
    <mergeCell ref="E35:E36"/>
    <mergeCell ref="F35:F36"/>
    <mergeCell ref="H35:H36"/>
    <mergeCell ref="H8:H9"/>
    <mergeCell ref="I8:I9"/>
    <mergeCell ref="B32:J32"/>
    <mergeCell ref="J8:J9"/>
    <mergeCell ref="J35:J36"/>
    <mergeCell ref="B3:J3"/>
    <mergeCell ref="B4:J4"/>
    <mergeCell ref="B5:J5"/>
    <mergeCell ref="B6:I6"/>
    <mergeCell ref="B8:B9"/>
    <mergeCell ref="D8:D9"/>
    <mergeCell ref="E8:E9"/>
    <mergeCell ref="F8:F9"/>
    <mergeCell ref="G8:G9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S63"/>
  <sheetViews>
    <sheetView showGridLines="0" zoomScale="80" zoomScaleNormal="80" zoomScalePageLayoutView="0" workbookViewId="0" topLeftCell="A19">
      <selection activeCell="C63" sqref="C63"/>
    </sheetView>
  </sheetViews>
  <sheetFormatPr defaultColWidth="11.421875" defaultRowHeight="12.75"/>
  <cols>
    <col min="1" max="1" width="7.57421875" style="0" customWidth="1"/>
    <col min="2" max="2" width="38.421875" style="0" bestFit="1" customWidth="1"/>
    <col min="3" max="3" width="14.57421875" style="0" customWidth="1"/>
    <col min="4" max="4" width="15.421875" style="0" customWidth="1"/>
    <col min="5" max="5" width="15.28125" style="0" customWidth="1"/>
    <col min="6" max="7" width="14.00390625" style="0" customWidth="1"/>
    <col min="8" max="8" width="13.8515625" style="0" bestFit="1" customWidth="1"/>
    <col min="9" max="10" width="13.8515625" style="0" customWidth="1"/>
    <col min="11" max="11" width="1.28515625" style="0" customWidth="1"/>
    <col min="12" max="18" width="10.7109375" style="0" customWidth="1"/>
    <col min="19" max="19" width="11.7109375" style="0" bestFit="1" customWidth="1"/>
    <col min="20" max="20" width="12.7109375" style="0" bestFit="1" customWidth="1"/>
  </cols>
  <sheetData>
    <row r="3" spans="2:18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62"/>
      <c r="L3" s="62"/>
      <c r="M3" s="62"/>
      <c r="N3" s="62"/>
      <c r="O3" s="62"/>
      <c r="P3" s="62"/>
      <c r="Q3" s="62"/>
      <c r="R3" s="62"/>
    </row>
    <row r="4" spans="2:18" ht="15" customHeight="1">
      <c r="B4" s="219" t="s">
        <v>29</v>
      </c>
      <c r="C4" s="219"/>
      <c r="D4" s="219"/>
      <c r="E4" s="219"/>
      <c r="F4" s="219"/>
      <c r="G4" s="219"/>
      <c r="H4" s="219"/>
      <c r="I4" s="219"/>
      <c r="J4" s="219"/>
      <c r="K4" s="62"/>
      <c r="L4" s="62"/>
      <c r="M4" s="62"/>
      <c r="N4" s="62"/>
      <c r="O4" s="62"/>
      <c r="P4" s="62"/>
      <c r="Q4" s="62"/>
      <c r="R4" s="62"/>
    </row>
    <row r="5" spans="2:18" ht="15">
      <c r="B5" s="219" t="s">
        <v>239</v>
      </c>
      <c r="C5" s="219"/>
      <c r="D5" s="219"/>
      <c r="E5" s="219"/>
      <c r="F5" s="219"/>
      <c r="G5" s="219"/>
      <c r="H5" s="219"/>
      <c r="I5" s="219"/>
      <c r="J5" s="219"/>
      <c r="K5" s="62"/>
      <c r="L5" s="62"/>
      <c r="M5" s="62"/>
      <c r="N5" s="62"/>
      <c r="O5" s="62"/>
      <c r="P5" s="62"/>
      <c r="Q5" s="62"/>
      <c r="R5" s="62"/>
    </row>
    <row r="6" spans="2:18" ht="15">
      <c r="B6" s="220"/>
      <c r="C6" s="220"/>
      <c r="D6" s="220"/>
      <c r="E6" s="220"/>
      <c r="F6" s="220"/>
      <c r="G6" s="220"/>
      <c r="H6" s="220"/>
      <c r="I6" s="149"/>
      <c r="J6" s="182"/>
      <c r="K6" s="62"/>
      <c r="L6" s="62"/>
      <c r="M6" s="62"/>
      <c r="N6" s="62"/>
      <c r="O6" s="62"/>
      <c r="P6" s="62"/>
      <c r="Q6" s="62"/>
      <c r="R6" s="62"/>
    </row>
    <row r="7" spans="2:18" ht="1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2:18" ht="15">
      <c r="B8" s="208" t="s">
        <v>30</v>
      </c>
      <c r="C8" s="210" t="s">
        <v>31</v>
      </c>
      <c r="D8" s="210" t="s">
        <v>32</v>
      </c>
      <c r="E8" s="210" t="s">
        <v>33</v>
      </c>
      <c r="F8" s="210" t="s">
        <v>34</v>
      </c>
      <c r="G8" s="210" t="s">
        <v>35</v>
      </c>
      <c r="H8" s="212" t="s">
        <v>36</v>
      </c>
      <c r="I8" s="212" t="s">
        <v>232</v>
      </c>
      <c r="J8" s="212" t="s">
        <v>246</v>
      </c>
      <c r="K8" s="62"/>
      <c r="L8" s="217" t="s">
        <v>69</v>
      </c>
      <c r="M8" s="218"/>
      <c r="N8" s="218"/>
      <c r="O8" s="218"/>
      <c r="P8" s="218"/>
      <c r="Q8" s="218"/>
      <c r="R8" s="218"/>
    </row>
    <row r="9" spans="2:18" ht="15">
      <c r="B9" s="209"/>
      <c r="C9" s="211"/>
      <c r="D9" s="211"/>
      <c r="E9" s="211"/>
      <c r="F9" s="211"/>
      <c r="G9" s="211"/>
      <c r="H9" s="213"/>
      <c r="I9" s="213"/>
      <c r="J9" s="213"/>
      <c r="K9" s="62"/>
      <c r="L9" s="70" t="s">
        <v>38</v>
      </c>
      <c r="M9" s="70" t="s">
        <v>39</v>
      </c>
      <c r="N9" s="70" t="s">
        <v>40</v>
      </c>
      <c r="O9" s="70" t="s">
        <v>41</v>
      </c>
      <c r="P9" s="70" t="s">
        <v>42</v>
      </c>
      <c r="Q9" s="70" t="s">
        <v>233</v>
      </c>
      <c r="R9" s="70" t="s">
        <v>247</v>
      </c>
    </row>
    <row r="10" spans="2:18" ht="15">
      <c r="B10" s="62"/>
      <c r="C10" s="63"/>
      <c r="D10" s="63"/>
      <c r="E10" s="63"/>
      <c r="F10" s="63"/>
      <c r="G10" s="63"/>
      <c r="H10" s="63"/>
      <c r="I10" s="63"/>
      <c r="J10" s="63"/>
      <c r="K10" s="62"/>
      <c r="L10" s="62"/>
      <c r="M10" s="62"/>
      <c r="N10" s="62"/>
      <c r="O10" s="62"/>
      <c r="P10" s="62"/>
      <c r="Q10" s="62"/>
      <c r="R10" s="62"/>
    </row>
    <row r="11" spans="2:18" ht="15">
      <c r="B11" s="157" t="s">
        <v>43</v>
      </c>
      <c r="C11" s="26">
        <f>('C03'!C11/'C04'!$C$56)*100</f>
        <v>89043944.8364111</v>
      </c>
      <c r="D11" s="26">
        <f>('C03'!D11/'C04'!$C$57)*100</f>
        <v>103052549.46954677</v>
      </c>
      <c r="E11" s="26">
        <f>('C03'!E11/'C04'!$C$58)*100</f>
        <v>117292041.29209481</v>
      </c>
      <c r="F11" s="26">
        <f>('C03'!F11/'C04'!$C$59)*100</f>
        <v>122575291.9443234</v>
      </c>
      <c r="G11" s="26">
        <f>('C03'!G11/'C04'!$C$60)*100</f>
        <v>128780740.17819078</v>
      </c>
      <c r="H11" s="26">
        <f>('C03'!H11/'C04'!$C$61)*100</f>
        <v>132296378.25814551</v>
      </c>
      <c r="I11" s="26">
        <f>('C03'!I11/'C04'!$C$62)*100</f>
        <v>122094172.62132846</v>
      </c>
      <c r="J11" s="26">
        <f>('C03'!J11/'C04'!$C$63)*100</f>
        <v>119272352.35567445</v>
      </c>
      <c r="K11" s="62"/>
      <c r="L11" s="29">
        <f aca="true" t="shared" si="0" ref="L11:R11">(D11-C11)/C11</f>
        <v>0.15732237221600923</v>
      </c>
      <c r="M11" s="29">
        <f t="shared" si="0"/>
        <v>0.1381769970354395</v>
      </c>
      <c r="N11" s="29">
        <f t="shared" si="0"/>
        <v>0.04504355618700168</v>
      </c>
      <c r="O11" s="29">
        <f t="shared" si="0"/>
        <v>0.05062560435659446</v>
      </c>
      <c r="P11" s="28">
        <f t="shared" si="0"/>
        <v>0.027299408864168862</v>
      </c>
      <c r="Q11" s="29">
        <f t="shared" si="0"/>
        <v>-0.07711628822453348</v>
      </c>
      <c r="R11" s="29">
        <f t="shared" si="0"/>
        <v>-0.023111834128282327</v>
      </c>
    </row>
    <row r="12" spans="2:18" ht="15">
      <c r="B12" s="90" t="s">
        <v>44</v>
      </c>
      <c r="C12" s="152">
        <f>('C03'!C12/'C04'!$C$56)*100</f>
        <v>47532394.242653236</v>
      </c>
      <c r="D12" s="152">
        <f>('C03'!D12/'C04'!$C$57)*100</f>
        <v>58553970.04457194</v>
      </c>
      <c r="E12" s="152">
        <f>('C03'!E12/'C04'!$C$58)*100</f>
        <v>66064858.229740314</v>
      </c>
      <c r="F12" s="152">
        <f>('C03'!F12/'C04'!$C$59)*100</f>
        <v>70071519.92612605</v>
      </c>
      <c r="G12" s="152">
        <f>('C03'!G12/'C04'!$C$60)*100</f>
        <v>73831484.39674003</v>
      </c>
      <c r="H12" s="152">
        <f>('C03'!H12/'C04'!$C$61)*100</f>
        <v>76822542.35496241</v>
      </c>
      <c r="I12" s="152">
        <f>('C03'!I12/'C04'!$C$62)*100</f>
        <v>70825279.95233628</v>
      </c>
      <c r="J12" s="152">
        <f>('C03'!J12/'C04'!$C$63)*100</f>
        <v>69383284.49561216</v>
      </c>
      <c r="K12" s="62"/>
      <c r="L12" s="71">
        <f>(D12-C12)/C12</f>
        <v>0.2318750396972111</v>
      </c>
      <c r="M12" s="71">
        <f>(E12-D12)/D12</f>
        <v>0.12827291094781443</v>
      </c>
      <c r="N12" s="71">
        <f>(F12-E12)/E12</f>
        <v>0.060647397175251354</v>
      </c>
      <c r="O12" s="71">
        <f>(G12-F12)/F12</f>
        <v>0.05365895408830842</v>
      </c>
      <c r="P12" s="150">
        <f>(H12-G12)/G12</f>
        <v>0.04051195750243431</v>
      </c>
      <c r="Q12" s="71">
        <f aca="true" t="shared" si="1" ref="Q12:Q25">(I12-H12)/H12</f>
        <v>-0.07806644012008188</v>
      </c>
      <c r="R12" s="71">
        <f aca="true" t="shared" si="2" ref="R12:R23">(J12-I12)/I12</f>
        <v>-0.020359897732766474</v>
      </c>
    </row>
    <row r="13" spans="2:18" ht="15">
      <c r="B13" s="90" t="s">
        <v>45</v>
      </c>
      <c r="C13" s="152">
        <f>('C03'!C13/'C04'!$C$56)*100</f>
        <v>1353778.7763088713</v>
      </c>
      <c r="D13" s="152">
        <f>('C03'!D13/'C04'!$C$57)*100</f>
        <v>1580523.6007476177</v>
      </c>
      <c r="E13" s="152">
        <f>('C03'!E13/'C04'!$C$58)*100</f>
        <v>1829712.340960548</v>
      </c>
      <c r="F13" s="152">
        <f>('C03'!F13/'C04'!$C$59)*100</f>
        <v>2049353.2085010486</v>
      </c>
      <c r="G13" s="152">
        <f>('C03'!G13/'C04'!$C$60)*100</f>
        <v>2325035.489139352</v>
      </c>
      <c r="H13" s="152">
        <f>('C03'!H13/'C04'!$C$61)*100</f>
        <v>2460681.4890539413</v>
      </c>
      <c r="I13" s="152">
        <f>('C03'!I13/'C04'!$C$62)*100</f>
        <v>10286432.455256445</v>
      </c>
      <c r="J13" s="152">
        <f>('C03'!J13/'C04'!$C$63)*100</f>
        <v>10517519.95035695</v>
      </c>
      <c r="K13" s="62"/>
      <c r="L13" s="71">
        <f aca="true" t="shared" si="3" ref="L13:L25">(D13-C13)/C13</f>
        <v>0.1674903081705673</v>
      </c>
      <c r="M13" s="71">
        <f aca="true" t="shared" si="4" ref="M13:M23">(E13-D13)/D13</f>
        <v>0.157662144427998</v>
      </c>
      <c r="N13" s="71">
        <f aca="true" t="shared" si="5" ref="N13:N23">(F13-E13)/E13</f>
        <v>0.12004120135364844</v>
      </c>
      <c r="O13" s="71">
        <f aca="true" t="shared" si="6" ref="O13:O23">(G13-F13)/F13</f>
        <v>0.13452160393568502</v>
      </c>
      <c r="P13" s="150">
        <f aca="true" t="shared" si="7" ref="P13:P23">(H13-G13)/G13</f>
        <v>0.05834147502187195</v>
      </c>
      <c r="Q13" s="71">
        <f t="shared" si="1"/>
        <v>3.1803185422471203</v>
      </c>
      <c r="R13" s="71">
        <f t="shared" si="2"/>
        <v>0.022465271230397894</v>
      </c>
    </row>
    <row r="14" spans="2:18" ht="15">
      <c r="B14" s="154" t="s">
        <v>46</v>
      </c>
      <c r="C14" s="152">
        <f>('C03'!C14/'C04'!$C$56)*100</f>
        <v>27589524.017183326</v>
      </c>
      <c r="D14" s="152">
        <f>('C03'!D14/'C04'!$C$57)*100</f>
        <v>31271364.051349577</v>
      </c>
      <c r="E14" s="152">
        <f>('C03'!E14/'C04'!$C$58)*100</f>
        <v>36424186.19780742</v>
      </c>
      <c r="F14" s="152">
        <f>('C03'!F14/'C04'!$C$59)*100</f>
        <v>37714531.378315285</v>
      </c>
      <c r="G14" s="152">
        <f>('C03'!G14/'C04'!$C$60)*100</f>
        <v>39496693.314144805</v>
      </c>
      <c r="H14" s="152">
        <f>('C03'!H14/'C04'!$C$61)*100</f>
        <v>39435973.326708496</v>
      </c>
      <c r="I14" s="152">
        <f>('C03'!I14/'C04'!$C$62)*100</f>
        <v>26640540.936948616</v>
      </c>
      <c r="J14" s="152">
        <f>('C03'!J14/'C04'!$C$63)*100</f>
        <v>25621327.20756256</v>
      </c>
      <c r="K14" s="62"/>
      <c r="L14" s="71">
        <f t="shared" si="3"/>
        <v>0.13345065438146467</v>
      </c>
      <c r="M14" s="71">
        <f t="shared" si="4"/>
        <v>0.16477765849921278</v>
      </c>
      <c r="N14" s="71">
        <f t="shared" si="5"/>
        <v>0.035425504731950386</v>
      </c>
      <c r="O14" s="71">
        <f t="shared" si="6"/>
        <v>0.04725398594914557</v>
      </c>
      <c r="P14" s="150">
        <f t="shared" si="7"/>
        <v>-0.0015373435683175036</v>
      </c>
      <c r="Q14" s="71">
        <f t="shared" si="1"/>
        <v>-0.3244609251496277</v>
      </c>
      <c r="R14" s="71">
        <f t="shared" si="2"/>
        <v>-0.03825799678010583</v>
      </c>
    </row>
    <row r="15" spans="2:18" ht="15">
      <c r="B15" s="90" t="s">
        <v>47</v>
      </c>
      <c r="C15" s="152">
        <f>('C03'!C15/'C04'!$C$56)*100</f>
        <v>12568247.800265666</v>
      </c>
      <c r="D15" s="152">
        <f>('C03'!D15/'C04'!$C$57)*100</f>
        <v>11646691.772877632</v>
      </c>
      <c r="E15" s="152">
        <f>('C03'!E15/'C04'!$C$58)*100</f>
        <v>12973284.523586534</v>
      </c>
      <c r="F15" s="152">
        <f>('C03'!F15/'C04'!$C$59)*100</f>
        <v>12739887.431381041</v>
      </c>
      <c r="G15" s="152">
        <f>('C03'!G15/'C04'!$C$60)*100</f>
        <v>13127526.978166588</v>
      </c>
      <c r="H15" s="152">
        <f>('C03'!H15/'C04'!$C$61)*100</f>
        <v>13577181.087420663</v>
      </c>
      <c r="I15" s="152">
        <f>('C03'!I15/'C04'!$C$62)*100</f>
        <v>14341919.276787117</v>
      </c>
      <c r="J15" s="152">
        <f>('C03'!J15/'C04'!$C$63)*100</f>
        <v>13750220.70214279</v>
      </c>
      <c r="K15" s="62"/>
      <c r="L15" s="71">
        <f t="shared" si="3"/>
        <v>-0.07332414526140665</v>
      </c>
      <c r="M15" s="71">
        <f t="shared" si="4"/>
        <v>0.11390296717547042</v>
      </c>
      <c r="N15" s="71">
        <f t="shared" si="5"/>
        <v>-0.01799059380692353</v>
      </c>
      <c r="O15" s="71">
        <f t="shared" si="6"/>
        <v>0.03042723484594598</v>
      </c>
      <c r="P15" s="150">
        <f t="shared" si="7"/>
        <v>0.03425276596284509</v>
      </c>
      <c r="Q15" s="71">
        <f t="shared" si="1"/>
        <v>0.05632525517944138</v>
      </c>
      <c r="R15" s="71">
        <f t="shared" si="2"/>
        <v>-0.04125658241585639</v>
      </c>
    </row>
    <row r="16" spans="2:18" ht="15">
      <c r="B16" s="155" t="s">
        <v>48</v>
      </c>
      <c r="C16" s="34">
        <f>('C03'!C16/'C04'!$C$56)*100</f>
        <v>233067.59592131703</v>
      </c>
      <c r="D16" s="34">
        <f>('C03'!D16/'C04'!$C$57)*100</f>
        <v>1046330.8674445421</v>
      </c>
      <c r="E16" s="34">
        <f>('C03'!E16/'C04'!$C$58)*100</f>
        <v>412980.11121194175</v>
      </c>
      <c r="F16" s="34">
        <f>('C03'!F16/'C04'!$C$59)*100</f>
        <v>283998.0806489787</v>
      </c>
      <c r="G16" s="34">
        <f>('C03'!G16/'C04'!$C$60)*100</f>
        <v>620597.961680452</v>
      </c>
      <c r="H16" s="34">
        <f>('C03'!H16/'C04'!$C$61)*100</f>
        <v>222453.67943378855</v>
      </c>
      <c r="I16" s="34">
        <f>('C03'!I16/'C04'!$C$62)*100</f>
        <v>304027.038779114</v>
      </c>
      <c r="J16" s="26">
        <f>('C03'!J16/'C04'!$C$63)*100</f>
        <v>1584757.0936799902</v>
      </c>
      <c r="K16" s="62"/>
      <c r="L16" s="37">
        <f t="shared" si="3"/>
        <v>3.4893879962523</v>
      </c>
      <c r="M16" s="37">
        <f t="shared" si="4"/>
        <v>-0.6053063862862379</v>
      </c>
      <c r="N16" s="37">
        <f t="shared" si="5"/>
        <v>-0.3123201991118874</v>
      </c>
      <c r="O16" s="37">
        <f t="shared" si="6"/>
        <v>1.185218858741198</v>
      </c>
      <c r="P16" s="36">
        <f t="shared" si="7"/>
        <v>-0.6415494520294112</v>
      </c>
      <c r="Q16" s="37">
        <f t="shared" si="1"/>
        <v>0.3666981798321079</v>
      </c>
      <c r="R16" s="37">
        <f t="shared" si="2"/>
        <v>4.212553133576288</v>
      </c>
    </row>
    <row r="17" spans="2:18" ht="15">
      <c r="B17" s="90" t="s">
        <v>49</v>
      </c>
      <c r="C17" s="152">
        <f>('C03'!C17/'C04'!$C$56)*100</f>
        <v>123440.89783978427</v>
      </c>
      <c r="D17" s="152">
        <f>('C03'!D17/'C04'!$C$57)*100</f>
        <v>556801.2668767519</v>
      </c>
      <c r="E17" s="152">
        <f>('C03'!E17/'C04'!$C$58)*100</f>
        <v>251783.3357232773</v>
      </c>
      <c r="F17" s="152">
        <f>('C03'!F17/'C04'!$C$59)*100</f>
        <v>166447.94975189387</v>
      </c>
      <c r="G17" s="152">
        <f>('C03'!G17/'C04'!$C$60)*100</f>
        <v>510936.6138497915</v>
      </c>
      <c r="H17" s="152">
        <f>('C03'!H17/'C04'!$C$61)*100</f>
        <v>172288.51224143401</v>
      </c>
      <c r="I17" s="152">
        <f>('C03'!I17/'C04'!$C$62)*100</f>
        <v>162064.76672256473</v>
      </c>
      <c r="J17" s="152">
        <f>('C03'!J17/'C04'!$C$63)*100</f>
        <v>1207250.8807327794</v>
      </c>
      <c r="K17" s="62"/>
      <c r="L17" s="71">
        <f t="shared" si="3"/>
        <v>3.5106709090809782</v>
      </c>
      <c r="M17" s="71">
        <f t="shared" si="4"/>
        <v>-0.5478039460369806</v>
      </c>
      <c r="N17" s="71">
        <f t="shared" si="5"/>
        <v>-0.3389238836090859</v>
      </c>
      <c r="O17" s="71">
        <f t="shared" si="6"/>
        <v>2.0696479867213142</v>
      </c>
      <c r="P17" s="150">
        <f t="shared" si="7"/>
        <v>-0.6627986572673288</v>
      </c>
      <c r="Q17" s="71">
        <f t="shared" si="1"/>
        <v>-0.05934084278667626</v>
      </c>
      <c r="R17" s="71">
        <f t="shared" si="2"/>
        <v>6.4491877855193955</v>
      </c>
    </row>
    <row r="18" spans="2:18" ht="15">
      <c r="B18" s="90" t="s">
        <v>50</v>
      </c>
      <c r="C18" s="152">
        <f>('C03'!C18/'C04'!$C$56)*100</f>
        <v>109626.69808153278</v>
      </c>
      <c r="D18" s="152">
        <f>('C03'!D18/'C04'!$C$57)*100</f>
        <v>489529.6005677902</v>
      </c>
      <c r="E18" s="152">
        <f>('C03'!E18/'C04'!$C$58)*100</f>
        <v>161196.77548866448</v>
      </c>
      <c r="F18" s="152">
        <f>('C03'!F18/'C04'!$C$59)*100</f>
        <v>117550.13089708489</v>
      </c>
      <c r="G18" s="152">
        <f>('C03'!G18/'C04'!$C$60)*100</f>
        <v>109661.34783066048</v>
      </c>
      <c r="H18" s="152">
        <f>('C03'!H18/'C04'!$C$61)*100</f>
        <v>50165.16719235456</v>
      </c>
      <c r="I18" s="152">
        <f>('C03'!I18/'C04'!$C$62)*100</f>
        <v>141962.2720565493</v>
      </c>
      <c r="J18" s="152">
        <f>('C03'!J18/'C04'!$C$63)*100</f>
        <v>377506.2129472108</v>
      </c>
      <c r="K18" s="62"/>
      <c r="L18" s="71">
        <f t="shared" si="3"/>
        <v>3.4654231964891604</v>
      </c>
      <c r="M18" s="71">
        <f t="shared" si="4"/>
        <v>-0.6707108716169617</v>
      </c>
      <c r="N18" s="71">
        <f t="shared" si="5"/>
        <v>-0.27076623871206945</v>
      </c>
      <c r="O18" s="71">
        <f t="shared" si="6"/>
        <v>-0.0671099471027475</v>
      </c>
      <c r="P18" s="150">
        <f t="shared" si="7"/>
        <v>-0.5425446779131347</v>
      </c>
      <c r="Q18" s="71">
        <f t="shared" si="1"/>
        <v>1.8298973172401807</v>
      </c>
      <c r="R18" s="71">
        <f t="shared" si="2"/>
        <v>1.6592009797985967</v>
      </c>
    </row>
    <row r="19" spans="2:18" ht="15">
      <c r="B19" s="155" t="s">
        <v>51</v>
      </c>
      <c r="C19" s="34">
        <f>('C03'!C19/'C04'!$C$56)*100</f>
        <v>14627667.969525775</v>
      </c>
      <c r="D19" s="34">
        <f>('C03'!D19/'C04'!$C$57)*100</f>
        <v>16060292.9484844</v>
      </c>
      <c r="E19" s="34">
        <f>('C03'!E19/'C04'!$C$58)*100</f>
        <v>18844466.518370375</v>
      </c>
      <c r="F19" s="34">
        <f>('C03'!F19/'C04'!$C$59)*100</f>
        <v>19221826.559995014</v>
      </c>
      <c r="G19" s="34">
        <f>('C03'!G19/'C04'!$C$60)*100</f>
        <v>20339641.592970237</v>
      </c>
      <c r="H19" s="34">
        <f>('C03'!H19/'C04'!$C$61)*100</f>
        <v>20040715.998763297</v>
      </c>
      <c r="I19" s="34">
        <f>('C03'!I19/'C04'!$C$62)*100</f>
        <v>19156739.66526882</v>
      </c>
      <c r="J19" s="26">
        <f>('C03'!J19/'C04'!$C$63)*100</f>
        <v>15798541.689647952</v>
      </c>
      <c r="K19" s="62"/>
      <c r="L19" s="37">
        <f t="shared" si="3"/>
        <v>0.09793939689793701</v>
      </c>
      <c r="M19" s="37">
        <f t="shared" si="4"/>
        <v>0.173357583128564</v>
      </c>
      <c r="N19" s="37">
        <f t="shared" si="5"/>
        <v>0.02002497875207944</v>
      </c>
      <c r="O19" s="37">
        <f t="shared" si="6"/>
        <v>0.05815342415489534</v>
      </c>
      <c r="P19" s="36">
        <f t="shared" si="7"/>
        <v>-0.014696699194063217</v>
      </c>
      <c r="Q19" s="37">
        <f t="shared" si="1"/>
        <v>-0.044109019535481006</v>
      </c>
      <c r="R19" s="37">
        <f t="shared" si="2"/>
        <v>-0.1753011229624466</v>
      </c>
    </row>
    <row r="20" spans="2:18" ht="15">
      <c r="B20" s="90" t="s">
        <v>52</v>
      </c>
      <c r="C20" s="152">
        <f>('C03'!C20/'C04'!$C$56)*100</f>
        <v>14627667.969525775</v>
      </c>
      <c r="D20" s="152">
        <f>('C03'!D20/'C04'!$C$57)*100</f>
        <v>16060292.9484844</v>
      </c>
      <c r="E20" s="152">
        <f>('C03'!E20/'C04'!$C$58)*100</f>
        <v>18844466.518370375</v>
      </c>
      <c r="F20" s="152">
        <f>('C03'!F20/'C04'!$C$59)*100</f>
        <v>19221826.559995014</v>
      </c>
      <c r="G20" s="152">
        <f>('C03'!G20/'C04'!$C$60)*100</f>
        <v>20339641.592970237</v>
      </c>
      <c r="H20" s="152">
        <f>('C03'!H20/'C04'!$C$61)*100</f>
        <v>20040715.998763297</v>
      </c>
      <c r="I20" s="152">
        <f>('C03'!I20/'C04'!$C$62)*100</f>
        <v>19156739.66526882</v>
      </c>
      <c r="J20" s="152">
        <f>('C03'!J20/'C04'!$C$63)*100</f>
        <v>15798541.689647952</v>
      </c>
      <c r="K20" s="62"/>
      <c r="L20" s="71">
        <f t="shared" si="3"/>
        <v>0.09793939689793701</v>
      </c>
      <c r="M20" s="71">
        <f t="shared" si="4"/>
        <v>0.173357583128564</v>
      </c>
      <c r="N20" s="71">
        <f t="shared" si="5"/>
        <v>0.02002497875207944</v>
      </c>
      <c r="O20" s="71">
        <f t="shared" si="6"/>
        <v>0.05815342415489534</v>
      </c>
      <c r="P20" s="150">
        <f t="shared" si="7"/>
        <v>-0.014696699194063217</v>
      </c>
      <c r="Q20" s="71">
        <f t="shared" si="1"/>
        <v>-0.044109019535481006</v>
      </c>
      <c r="R20" s="71">
        <f t="shared" si="2"/>
        <v>-0.1753011229624466</v>
      </c>
    </row>
    <row r="21" spans="2:18" ht="15">
      <c r="B21" s="155" t="s">
        <v>53</v>
      </c>
      <c r="C21" s="34">
        <f>('C03'!C21/'C04'!$C$56)*100</f>
        <v>32059139.160435025</v>
      </c>
      <c r="D21" s="34">
        <f>('C03'!D21/'C04'!$C$57)*100</f>
        <v>33602672.91969581</v>
      </c>
      <c r="E21" s="34">
        <f>('C03'!E21/'C04'!$C$58)*100</f>
        <v>25382527.531379867</v>
      </c>
      <c r="F21" s="34">
        <f>('C03'!F21/'C04'!$C$59)*100</f>
        <v>29554584.212337267</v>
      </c>
      <c r="G21" s="34">
        <f>('C03'!G21/'C04'!$C$60)*100</f>
        <v>32366268.886873025</v>
      </c>
      <c r="H21" s="34">
        <f>('C03'!H21/'C04'!$C$61)*100</f>
        <v>40706560.148238055</v>
      </c>
      <c r="I21" s="34">
        <f>('C03'!I21/'C04'!$C$62)*100</f>
        <v>49407569.39192978</v>
      </c>
      <c r="J21" s="26">
        <f>('C03'!J21/'C04'!$C$63)*100</f>
        <v>55825447.74227989</v>
      </c>
      <c r="K21" s="62"/>
      <c r="L21" s="37">
        <f t="shared" si="3"/>
        <v>0.04814645058110911</v>
      </c>
      <c r="M21" s="37">
        <f t="shared" si="4"/>
        <v>-0.24462772375163647</v>
      </c>
      <c r="N21" s="37">
        <f t="shared" si="5"/>
        <v>0.164367267042243</v>
      </c>
      <c r="O21" s="37">
        <f t="shared" si="6"/>
        <v>0.09513531485792479</v>
      </c>
      <c r="P21" s="36">
        <f t="shared" si="7"/>
        <v>0.2576846682735077</v>
      </c>
      <c r="Q21" s="37">
        <f t="shared" si="1"/>
        <v>0.21374955810576743</v>
      </c>
      <c r="R21" s="37">
        <f t="shared" si="2"/>
        <v>0.1298966621782127</v>
      </c>
    </row>
    <row r="22" spans="2:19" ht="15">
      <c r="B22" s="90" t="s">
        <v>54</v>
      </c>
      <c r="C22" s="152">
        <f>('C03'!C22/'C04'!$C$56)*100</f>
        <v>12307353.355681317</v>
      </c>
      <c r="D22" s="152">
        <f>('C03'!D22/'C04'!$C$57)*100</f>
        <v>13736456.305783665</v>
      </c>
      <c r="E22" s="152">
        <f>('C03'!E22/'C04'!$C$58)*100</f>
        <v>9855959.885432435</v>
      </c>
      <c r="F22" s="152">
        <f>('C03'!F22/'C04'!$C$59)*100</f>
        <v>9733334.757113015</v>
      </c>
      <c r="G22" s="152">
        <f>('C03'!G22/'C04'!$C$60)*100</f>
        <v>11586520.643032879</v>
      </c>
      <c r="H22" s="152">
        <f>('C03'!H22/'C04'!$C$61)*100</f>
        <v>18212061.350282896</v>
      </c>
      <c r="I22" s="152">
        <f>('C03'!I22/'C04'!$C$62)*100</f>
        <v>25594632.05653886</v>
      </c>
      <c r="J22" s="152">
        <f>('C03'!J22/'C04'!$C$63)*100</f>
        <v>23676235.576952826</v>
      </c>
      <c r="K22" s="62"/>
      <c r="L22" s="71">
        <f t="shared" si="3"/>
        <v>0.11611781256305978</v>
      </c>
      <c r="M22" s="71">
        <f t="shared" si="4"/>
        <v>-0.2824961790703885</v>
      </c>
      <c r="N22" s="71">
        <f t="shared" si="5"/>
        <v>-0.012441723560651412</v>
      </c>
      <c r="O22" s="71">
        <f t="shared" si="6"/>
        <v>0.19039578234639215</v>
      </c>
      <c r="P22" s="150">
        <f t="shared" si="7"/>
        <v>0.5718317786137151</v>
      </c>
      <c r="Q22" s="31">
        <f t="shared" si="1"/>
        <v>0.4053671116225011</v>
      </c>
      <c r="R22" s="31">
        <f t="shared" si="2"/>
        <v>-0.07495307904205356</v>
      </c>
      <c r="S22" s="46"/>
    </row>
    <row r="23" spans="2:18" ht="15">
      <c r="B23" s="91" t="s">
        <v>55</v>
      </c>
      <c r="C23" s="153">
        <f>('C03'!C23/'C04'!$C$56)*100</f>
        <v>19751785.70475371</v>
      </c>
      <c r="D23" s="153">
        <f>('C03'!D23/'C04'!$C$57)*100</f>
        <v>19866216.613912147</v>
      </c>
      <c r="E23" s="153">
        <f>('C03'!E23/'C04'!$C$58)*100</f>
        <v>15526567.58010705</v>
      </c>
      <c r="F23" s="153">
        <f>('C03'!F23/'C04'!$C$59)*100</f>
        <v>19821249.455224253</v>
      </c>
      <c r="G23" s="153">
        <f>('C03'!G23/'C04'!$C$60)*100</f>
        <v>20779748.24384015</v>
      </c>
      <c r="H23" s="153">
        <f>('C03'!H23/'C04'!$C$61)*100</f>
        <v>22494498.797955167</v>
      </c>
      <c r="I23" s="153">
        <f>('C03'!I23/'C04'!$C$62)*100</f>
        <v>23812937.335390918</v>
      </c>
      <c r="J23" s="153">
        <f>('C03'!J23/'C04'!$C$63)*100</f>
        <v>32149212.165327057</v>
      </c>
      <c r="K23" s="62"/>
      <c r="L23" s="72">
        <f t="shared" si="3"/>
        <v>0.005793446267032674</v>
      </c>
      <c r="M23" s="72">
        <f t="shared" si="4"/>
        <v>-0.218443658304122</v>
      </c>
      <c r="N23" s="72">
        <f t="shared" si="5"/>
        <v>0.2766021435812791</v>
      </c>
      <c r="O23" s="72">
        <f t="shared" si="6"/>
        <v>0.04835713262078276</v>
      </c>
      <c r="P23" s="151">
        <f t="shared" si="7"/>
        <v>0.08252027570273035</v>
      </c>
      <c r="Q23" s="39">
        <f t="shared" si="1"/>
        <v>0.058611598741448834</v>
      </c>
      <c r="R23" s="39">
        <f t="shared" si="2"/>
        <v>0.35007335351051894</v>
      </c>
    </row>
    <row r="24" spans="2:18" ht="15">
      <c r="B24" s="62"/>
      <c r="C24" s="76"/>
      <c r="D24" s="76"/>
      <c r="E24" s="76"/>
      <c r="F24" s="76"/>
      <c r="G24" s="76"/>
      <c r="H24" s="76"/>
      <c r="I24" s="76"/>
      <c r="J24" s="76"/>
      <c r="K24" s="62"/>
      <c r="L24" s="75"/>
      <c r="M24" s="65"/>
      <c r="N24" s="65"/>
      <c r="O24" s="65"/>
      <c r="P24" s="65"/>
      <c r="Q24" s="65"/>
      <c r="R24" s="65"/>
    </row>
    <row r="25" spans="2:18" ht="15">
      <c r="B25" s="44" t="s">
        <v>19</v>
      </c>
      <c r="C25" s="40">
        <f>('C03'!C25/'C04'!$C$56)*100</f>
        <v>135963819.56229323</v>
      </c>
      <c r="D25" s="40">
        <f>('C03'!D25/'C04'!$C$57)*100</f>
        <v>153761846.2051715</v>
      </c>
      <c r="E25" s="40">
        <f>('C03'!E25/'C04'!$C$58)*100</f>
        <v>161932015.453057</v>
      </c>
      <c r="F25" s="40">
        <f>('C03'!F25/'C04'!$C$59)*100</f>
        <v>171635700.79730466</v>
      </c>
      <c r="G25" s="40">
        <f>('C03'!G25/'C04'!$C$60)*100</f>
        <v>182107248.61971447</v>
      </c>
      <c r="H25" s="40">
        <f>('C03'!H25/'C04'!$C$61)*100</f>
        <v>193266108.08458066</v>
      </c>
      <c r="I25" s="40">
        <f>('C03'!I25/'C04'!$C$62)*100</f>
        <v>190962508.7173062</v>
      </c>
      <c r="J25" s="40">
        <f>('C03'!J25/'C04'!$C$63)*100</f>
        <v>192481098.88128227</v>
      </c>
      <c r="K25" s="62"/>
      <c r="L25" s="41">
        <f t="shared" si="3"/>
        <v>0.13090266734323328</v>
      </c>
      <c r="M25" s="41">
        <f>(E25-D25)/D25</f>
        <v>0.05313521819309885</v>
      </c>
      <c r="N25" s="41">
        <f>(F25-E25)/E25</f>
        <v>0.05992444000093794</v>
      </c>
      <c r="O25" s="41">
        <f>(G25-F25)/F25</f>
        <v>0.06101031296965609</v>
      </c>
      <c r="P25" s="41">
        <f>(H25-G25)/G25</f>
        <v>0.06127630585517595</v>
      </c>
      <c r="Q25" s="41">
        <f t="shared" si="1"/>
        <v>-0.01191931368673456</v>
      </c>
      <c r="R25" s="41">
        <f>(J25-I25)/I25</f>
        <v>0.007952294794284137</v>
      </c>
    </row>
    <row r="26" spans="2:18" ht="15">
      <c r="B26" s="62"/>
      <c r="C26" s="76"/>
      <c r="D26" s="76"/>
      <c r="E26" s="76"/>
      <c r="F26" s="76"/>
      <c r="G26" s="76"/>
      <c r="H26" s="76"/>
      <c r="I26" s="76"/>
      <c r="J26" s="76"/>
      <c r="K26" s="62"/>
      <c r="L26" s="62"/>
      <c r="M26" s="62"/>
      <c r="N26" s="62"/>
      <c r="O26" s="62"/>
      <c r="P26" s="62"/>
      <c r="Q26" s="62"/>
      <c r="R26" s="62"/>
    </row>
    <row r="27" spans="2:18" ht="15">
      <c r="B27" s="62" t="s">
        <v>56</v>
      </c>
      <c r="C27" s="76"/>
      <c r="D27" s="76"/>
      <c r="E27" s="62"/>
      <c r="F27" s="76"/>
      <c r="G27" s="76"/>
      <c r="H27" s="76"/>
      <c r="I27" s="76"/>
      <c r="J27" s="76"/>
      <c r="K27" s="62"/>
      <c r="L27" s="62"/>
      <c r="M27" s="62"/>
      <c r="N27" s="62"/>
      <c r="O27" s="62"/>
      <c r="P27" s="62"/>
      <c r="Q27" s="62"/>
      <c r="R27" s="62"/>
    </row>
    <row r="28" spans="2:18" ht="15">
      <c r="B28" s="62"/>
      <c r="C28" s="76"/>
      <c r="D28" s="76"/>
      <c r="E28" s="76"/>
      <c r="F28" s="62"/>
      <c r="G28" s="76"/>
      <c r="H28" s="76"/>
      <c r="I28" s="76"/>
      <c r="J28" s="76"/>
      <c r="K28" s="62"/>
      <c r="L28" s="62"/>
      <c r="M28" s="62"/>
      <c r="N28" s="62"/>
      <c r="O28" s="62"/>
      <c r="P28" s="62"/>
      <c r="Q28" s="62"/>
      <c r="R28" s="62"/>
    </row>
    <row r="29" spans="2:18" ht="1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2:18" ht="15">
      <c r="B30" s="219" t="s">
        <v>13</v>
      </c>
      <c r="C30" s="219"/>
      <c r="D30" s="219"/>
      <c r="E30" s="219"/>
      <c r="F30" s="219"/>
      <c r="G30" s="219"/>
      <c r="H30" s="219"/>
      <c r="I30" s="219"/>
      <c r="J30" s="219"/>
      <c r="K30" s="62"/>
      <c r="L30" s="62"/>
      <c r="M30" s="62"/>
      <c r="N30" s="62"/>
      <c r="O30" s="62"/>
      <c r="P30" s="62"/>
      <c r="Q30" s="62"/>
      <c r="R30" s="62"/>
    </row>
    <row r="31" spans="2:18" ht="15">
      <c r="B31" s="219" t="s">
        <v>57</v>
      </c>
      <c r="C31" s="219"/>
      <c r="D31" s="219"/>
      <c r="E31" s="219"/>
      <c r="F31" s="219"/>
      <c r="G31" s="219"/>
      <c r="H31" s="219"/>
      <c r="I31" s="219"/>
      <c r="J31" s="219"/>
      <c r="K31" s="62"/>
      <c r="L31" s="62"/>
      <c r="M31" s="62"/>
      <c r="N31" s="62"/>
      <c r="O31" s="62"/>
      <c r="P31" s="62"/>
      <c r="Q31" s="62"/>
      <c r="R31" s="62"/>
    </row>
    <row r="32" spans="2:18" ht="15">
      <c r="B32" s="219" t="s">
        <v>239</v>
      </c>
      <c r="C32" s="219"/>
      <c r="D32" s="219"/>
      <c r="E32" s="219"/>
      <c r="F32" s="219"/>
      <c r="G32" s="219"/>
      <c r="H32" s="219"/>
      <c r="I32" s="219"/>
      <c r="J32" s="219"/>
      <c r="K32" s="62"/>
      <c r="L32" s="62"/>
      <c r="M32" s="62"/>
      <c r="N32" s="62"/>
      <c r="O32" s="62"/>
      <c r="P32" s="62"/>
      <c r="Q32" s="62"/>
      <c r="R32" s="62"/>
    </row>
    <row r="33" spans="2:18" ht="1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2:18" ht="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ht="15">
      <c r="B35" s="208" t="s">
        <v>58</v>
      </c>
      <c r="C35" s="210" t="s">
        <v>31</v>
      </c>
      <c r="D35" s="210" t="s">
        <v>32</v>
      </c>
      <c r="E35" s="210" t="s">
        <v>33</v>
      </c>
      <c r="F35" s="210" t="s">
        <v>34</v>
      </c>
      <c r="G35" s="210" t="s">
        <v>35</v>
      </c>
      <c r="H35" s="212" t="s">
        <v>36</v>
      </c>
      <c r="I35" s="212" t="s">
        <v>232</v>
      </c>
      <c r="J35" s="212" t="s">
        <v>246</v>
      </c>
      <c r="K35" s="47"/>
      <c r="L35" s="217" t="s">
        <v>69</v>
      </c>
      <c r="M35" s="218"/>
      <c r="N35" s="218"/>
      <c r="O35" s="218"/>
      <c r="P35" s="218"/>
      <c r="Q35" s="218"/>
      <c r="R35" s="218"/>
    </row>
    <row r="36" spans="2:18" ht="15">
      <c r="B36" s="209"/>
      <c r="C36" s="211"/>
      <c r="D36" s="211"/>
      <c r="E36" s="211"/>
      <c r="F36" s="211"/>
      <c r="G36" s="211"/>
      <c r="H36" s="213"/>
      <c r="I36" s="213"/>
      <c r="J36" s="213"/>
      <c r="K36" s="47"/>
      <c r="L36" s="70" t="s">
        <v>38</v>
      </c>
      <c r="M36" s="70" t="s">
        <v>39</v>
      </c>
      <c r="N36" s="70" t="s">
        <v>40</v>
      </c>
      <c r="O36" s="70" t="s">
        <v>41</v>
      </c>
      <c r="P36" s="70" t="s">
        <v>42</v>
      </c>
      <c r="Q36" s="70" t="s">
        <v>233</v>
      </c>
      <c r="R36" s="70" t="s">
        <v>247</v>
      </c>
    </row>
    <row r="37" spans="2:18" ht="15">
      <c r="B37" s="62"/>
      <c r="C37" s="43"/>
      <c r="D37" s="43"/>
      <c r="E37" s="63"/>
      <c r="F37" s="63"/>
      <c r="G37" s="63"/>
      <c r="H37" s="63"/>
      <c r="I37" s="63"/>
      <c r="J37" s="63"/>
      <c r="K37" s="62"/>
      <c r="L37" s="62"/>
      <c r="M37" s="62"/>
      <c r="N37" s="62"/>
      <c r="O37" s="62"/>
      <c r="P37" s="62"/>
      <c r="Q37" s="62"/>
      <c r="R37" s="62"/>
    </row>
    <row r="38" spans="2:18" ht="15">
      <c r="B38" s="157" t="s">
        <v>59</v>
      </c>
      <c r="C38" s="26">
        <f>('C03'!C38/'C04'!$C$56)*100</f>
        <v>77261980.70917502</v>
      </c>
      <c r="D38" s="26">
        <f>('C03'!D38/'C04'!$C$57)*100</f>
        <v>83433012.46623765</v>
      </c>
      <c r="E38" s="26">
        <f>('C03'!E38/'C04'!$C$58)*100</f>
        <v>94247190.52949603</v>
      </c>
      <c r="F38" s="26">
        <f>('C03'!F38/'C04'!$C$59)*100</f>
        <v>94377386.78946269</v>
      </c>
      <c r="G38" s="26">
        <f>('C03'!G38/'C04'!$C$60)*100</f>
        <v>104067777.02112201</v>
      </c>
      <c r="H38" s="26">
        <f>('C03'!H38/'C04'!$C$61)*100</f>
        <v>111886187.58246902</v>
      </c>
      <c r="I38" s="26">
        <f>('C03'!I38/'C04'!$C$62)*100</f>
        <v>111751522.57180868</v>
      </c>
      <c r="J38" s="35">
        <f>('C03'!J38/'C04'!$C$63)*100</f>
        <v>110818561.48481728</v>
      </c>
      <c r="K38" s="62"/>
      <c r="L38" s="29">
        <f aca="true" t="shared" si="8" ref="L38:R38">(D38-C38)/C38</f>
        <v>0.07987151895951596</v>
      </c>
      <c r="M38" s="29">
        <f t="shared" si="8"/>
        <v>0.12961509771248508</v>
      </c>
      <c r="N38" s="29">
        <f t="shared" si="8"/>
        <v>0.001381433857446496</v>
      </c>
      <c r="O38" s="29">
        <f t="shared" si="8"/>
        <v>0.10267703484179605</v>
      </c>
      <c r="P38" s="29">
        <f t="shared" si="8"/>
        <v>0.07512806350961213</v>
      </c>
      <c r="Q38" s="29">
        <f t="shared" si="8"/>
        <v>-0.0012035892326841202</v>
      </c>
      <c r="R38" s="29">
        <f t="shared" si="8"/>
        <v>-0.008348531326648392</v>
      </c>
    </row>
    <row r="39" spans="2:18" ht="15">
      <c r="B39" s="90" t="s">
        <v>60</v>
      </c>
      <c r="C39" s="152">
        <f>('C03'!C39/'C04'!$C$56)*100</f>
        <v>24558646.292923465</v>
      </c>
      <c r="D39" s="152">
        <f>('C03'!D39/'C04'!$C$57)*100</f>
        <v>25507772.355837125</v>
      </c>
      <c r="E39" s="152">
        <f>('C03'!E39/'C04'!$C$58)*100</f>
        <v>26824761.50378558</v>
      </c>
      <c r="F39" s="152">
        <f>('C03'!F39/'C04'!$C$59)*100</f>
        <v>28360572.93939446</v>
      </c>
      <c r="G39" s="152">
        <f>('C03'!G39/'C04'!$C$60)*100</f>
        <v>31109147.056045383</v>
      </c>
      <c r="H39" s="152">
        <f>('C03'!H39/'C04'!$C$61)*100</f>
        <v>34774448.22186084</v>
      </c>
      <c r="I39" s="152">
        <f>('C03'!I39/'C04'!$C$62)*100</f>
        <v>35114424.259705454</v>
      </c>
      <c r="J39" s="152">
        <f>('C03'!J39/'C04'!$C$63)*100</f>
        <v>37149019.342726775</v>
      </c>
      <c r="K39" s="62"/>
      <c r="L39" s="71">
        <f aca="true" t="shared" si="9" ref="L39:M50">(D39-C39)/C39</f>
        <v>0.03864732817896193</v>
      </c>
      <c r="M39" s="71">
        <f t="shared" si="9"/>
        <v>0.05163089624512346</v>
      </c>
      <c r="N39" s="71">
        <f aca="true" t="shared" si="10" ref="N39:N48">(F39-E39)/E39</f>
        <v>0.05725349824236614</v>
      </c>
      <c r="O39" s="71">
        <f aca="true" t="shared" si="11" ref="O39:O48">(G39-F39)/F39</f>
        <v>0.09691532404950104</v>
      </c>
      <c r="P39" s="71">
        <f aca="true" t="shared" si="12" ref="P39:P48">(H39-G39)/G39</f>
        <v>0.11782068981872605</v>
      </c>
      <c r="Q39" s="71">
        <f aca="true" t="shared" si="13" ref="Q39:Q50">(I39-H39)/H39</f>
        <v>0.009776604812693717</v>
      </c>
      <c r="R39" s="71">
        <f aca="true" t="shared" si="14" ref="R39:R48">(J39-I39)/I39</f>
        <v>0.05794186081404904</v>
      </c>
    </row>
    <row r="40" spans="2:18" ht="15">
      <c r="B40" s="90" t="s">
        <v>61</v>
      </c>
      <c r="C40" s="152">
        <f>('C03'!C40/'C04'!$C$56)*100</f>
        <v>11709137.595090091</v>
      </c>
      <c r="D40" s="152">
        <f>('C03'!D40/'C04'!$C$57)*100</f>
        <v>11893110.502245173</v>
      </c>
      <c r="E40" s="152">
        <f>('C03'!E40/'C04'!$C$58)*100</f>
        <v>11980932.3593022</v>
      </c>
      <c r="F40" s="152">
        <f>('C03'!F40/'C04'!$C$59)*100</f>
        <v>11755253.191555034</v>
      </c>
      <c r="G40" s="152">
        <f>('C03'!G40/'C04'!$C$60)*100</f>
        <v>11782946.6311367</v>
      </c>
      <c r="H40" s="152">
        <f>('C03'!H40/'C04'!$C$61)*100</f>
        <v>12714679.80532311</v>
      </c>
      <c r="I40" s="152">
        <f>('C03'!I40/'C04'!$C$62)*100</f>
        <v>11651164.6203113</v>
      </c>
      <c r="J40" s="152">
        <f>('C03'!J40/'C04'!$C$63)*100</f>
        <v>11494581.225411711</v>
      </c>
      <c r="K40" s="62"/>
      <c r="L40" s="71">
        <f t="shared" si="9"/>
        <v>0.015711909238492992</v>
      </c>
      <c r="M40" s="71">
        <f t="shared" si="9"/>
        <v>0.007384263102612943</v>
      </c>
      <c r="N40" s="71">
        <f t="shared" si="10"/>
        <v>-0.01883652799124142</v>
      </c>
      <c r="O40" s="71">
        <f t="shared" si="11"/>
        <v>0.0023558352279099432</v>
      </c>
      <c r="P40" s="71">
        <f t="shared" si="12"/>
        <v>0.07907471733125605</v>
      </c>
      <c r="Q40" s="71">
        <f t="shared" si="13"/>
        <v>-0.08364466909867142</v>
      </c>
      <c r="R40" s="71">
        <f t="shared" si="14"/>
        <v>-0.013439291264207065</v>
      </c>
    </row>
    <row r="41" spans="2:18" ht="15">
      <c r="B41" s="90" t="s">
        <v>62</v>
      </c>
      <c r="C41" s="152">
        <f>('C03'!C41/'C04'!$C$56)*100</f>
        <v>28206031.131394323</v>
      </c>
      <c r="D41" s="152">
        <f>('C03'!D41/'C04'!$C$57)*100</f>
        <v>33256447.420549043</v>
      </c>
      <c r="E41" s="152">
        <f>('C03'!E41/'C04'!$C$58)*100</f>
        <v>38157565.87278743</v>
      </c>
      <c r="F41" s="152">
        <f>('C03'!F41/'C04'!$C$59)*100</f>
        <v>40183193.06080544</v>
      </c>
      <c r="G41" s="152">
        <f>('C03'!G41/'C04'!$C$60)*100</f>
        <v>44251345.41226383</v>
      </c>
      <c r="H41" s="152">
        <f>('C03'!H41/'C04'!$C$61)*100</f>
        <v>46108640.22466147</v>
      </c>
      <c r="I41" s="152">
        <f>('C03'!I41/'C04'!$C$62)*100</f>
        <v>45421797.30702721</v>
      </c>
      <c r="J41" s="152">
        <f>('C03'!J41/'C04'!$C$63)*100</f>
        <v>45830087.66259685</v>
      </c>
      <c r="K41" s="62"/>
      <c r="L41" s="71">
        <f t="shared" si="9"/>
        <v>0.17905448184567255</v>
      </c>
      <c r="M41" s="71">
        <f t="shared" si="9"/>
        <v>0.14737348190745125</v>
      </c>
      <c r="N41" s="71">
        <f t="shared" si="10"/>
        <v>0.0530858596895619</v>
      </c>
      <c r="O41" s="71">
        <f t="shared" si="11"/>
        <v>0.10124014647871415</v>
      </c>
      <c r="P41" s="71">
        <f t="shared" si="12"/>
        <v>0.04197148798741168</v>
      </c>
      <c r="Q41" s="71">
        <f t="shared" si="13"/>
        <v>-0.014896186794658376</v>
      </c>
      <c r="R41" s="71">
        <f t="shared" si="14"/>
        <v>0.00898886393265798</v>
      </c>
    </row>
    <row r="42" spans="2:18" ht="15">
      <c r="B42" s="90" t="s">
        <v>52</v>
      </c>
      <c r="C42" s="152">
        <f>('C03'!C42/'C04'!$C$56)*100</f>
        <v>6603903.48398169</v>
      </c>
      <c r="D42" s="152">
        <f>('C03'!D42/'C04'!$C$57)*100</f>
        <v>7379931.854367265</v>
      </c>
      <c r="E42" s="152">
        <f>('C03'!E42/'C04'!$C$58)*100</f>
        <v>10226033.388940511</v>
      </c>
      <c r="F42" s="152">
        <f>('C03'!F42/'C04'!$C$59)*100</f>
        <v>8693877.318241304</v>
      </c>
      <c r="G42" s="152">
        <f>('C03'!G42/'C04'!$C$60)*100</f>
        <v>9659984.161910191</v>
      </c>
      <c r="H42" s="152">
        <f>('C03'!H42/'C04'!$C$61)*100</f>
        <v>9965708.309968522</v>
      </c>
      <c r="I42" s="152">
        <f>('C03'!I42/'C04'!$C$62)*100</f>
        <v>10629506.500992406</v>
      </c>
      <c r="J42" s="152">
        <f>('C03'!J42/'C04'!$C$63)*100</f>
        <v>7784442.170610616</v>
      </c>
      <c r="K42" s="62"/>
      <c r="L42" s="71">
        <f t="shared" si="9"/>
        <v>0.1175105560321853</v>
      </c>
      <c r="M42" s="71">
        <f t="shared" si="9"/>
        <v>0.3856541755042078</v>
      </c>
      <c r="N42" s="71">
        <f t="shared" si="10"/>
        <v>-0.14982897203878087</v>
      </c>
      <c r="O42" s="71">
        <f t="shared" si="11"/>
        <v>0.11112496856170527</v>
      </c>
      <c r="P42" s="71">
        <f t="shared" si="12"/>
        <v>0.0316485144213607</v>
      </c>
      <c r="Q42" s="71">
        <f t="shared" si="13"/>
        <v>0.06660822997999036</v>
      </c>
      <c r="R42" s="71">
        <f t="shared" si="14"/>
        <v>-0.2676572360265423</v>
      </c>
    </row>
    <row r="43" spans="2:18" ht="15">
      <c r="B43" s="90" t="s">
        <v>63</v>
      </c>
      <c r="C43" s="152">
        <f>('C03'!C43/'C04'!$C$56)*100</f>
        <v>6184262.305785421</v>
      </c>
      <c r="D43" s="152">
        <f>('C03'!D43/'C04'!$C$57)*100</f>
        <v>5395750.33323905</v>
      </c>
      <c r="E43" s="152">
        <f>('C03'!E43/'C04'!$C$58)*100</f>
        <v>7057897.404680302</v>
      </c>
      <c r="F43" s="152">
        <f>('C03'!F43/'C04'!$C$59)*100</f>
        <v>5384490.279466447</v>
      </c>
      <c r="G43" s="152">
        <f>('C03'!G43/'C04'!$C$60)*100</f>
        <v>7264353.759765891</v>
      </c>
      <c r="H43" s="152">
        <f>('C03'!H43/'C04'!$C$61)*100</f>
        <v>8322711.02065505</v>
      </c>
      <c r="I43" s="152">
        <f>('C03'!I43/'C04'!$C$62)*100</f>
        <v>8934629.883772291</v>
      </c>
      <c r="J43" s="152">
        <f>('C03'!J43/'C04'!$C$63)*100</f>
        <v>8560431.083471343</v>
      </c>
      <c r="K43" s="62"/>
      <c r="L43" s="71">
        <f t="shared" si="9"/>
        <v>-0.12750299608228344</v>
      </c>
      <c r="M43" s="71">
        <f t="shared" si="9"/>
        <v>0.3080474389635948</v>
      </c>
      <c r="N43" s="71">
        <f t="shared" si="10"/>
        <v>-0.2370971167849746</v>
      </c>
      <c r="O43" s="71">
        <f t="shared" si="11"/>
        <v>0.34912561500356554</v>
      </c>
      <c r="P43" s="71">
        <f t="shared" si="12"/>
        <v>0.14569186687340877</v>
      </c>
      <c r="Q43" s="71">
        <f t="shared" si="13"/>
        <v>0.073523982942409</v>
      </c>
      <c r="R43" s="71">
        <f t="shared" si="14"/>
        <v>-0.041881846832916354</v>
      </c>
    </row>
    <row r="44" spans="2:18" ht="15">
      <c r="B44" s="155" t="s">
        <v>64</v>
      </c>
      <c r="C44" s="34">
        <f>('C03'!C44/'C04'!$C$56)*100</f>
        <v>23058133.538642928</v>
      </c>
      <c r="D44" s="34">
        <f>('C03'!D44/'C04'!$C$57)*100</f>
        <v>27116928.157218795</v>
      </c>
      <c r="E44" s="34">
        <f>('C03'!E44/'C04'!$C$58)*100</f>
        <v>24485564.14007317</v>
      </c>
      <c r="F44" s="34">
        <f>('C03'!F44/'C04'!$C$59)*100</f>
        <v>28595969.618084993</v>
      </c>
      <c r="G44" s="34">
        <f>('C03'!G44/'C04'!$C$60)*100</f>
        <v>31483377.296366043</v>
      </c>
      <c r="H44" s="34">
        <f>('C03'!H44/'C04'!$C$61)*100</f>
        <v>32502357.90932352</v>
      </c>
      <c r="I44" s="34">
        <f>('C03'!I44/'C04'!$C$62)*100</f>
        <v>31517967.059678707</v>
      </c>
      <c r="J44" s="35">
        <f>('C03'!J44/'C04'!$C$63)*100</f>
        <v>29934489.68775981</v>
      </c>
      <c r="K44" s="62"/>
      <c r="L44" s="37">
        <f t="shared" si="9"/>
        <v>0.1760244215679369</v>
      </c>
      <c r="M44" s="37">
        <f t="shared" si="9"/>
        <v>-0.09703768811457839</v>
      </c>
      <c r="N44" s="37">
        <f t="shared" si="10"/>
        <v>0.16787056465179492</v>
      </c>
      <c r="O44" s="37">
        <f t="shared" si="11"/>
        <v>0.10097253972654113</v>
      </c>
      <c r="P44" s="37">
        <f t="shared" si="12"/>
        <v>0.032365670409670214</v>
      </c>
      <c r="Q44" s="37">
        <f t="shared" si="13"/>
        <v>-0.030286751884005144</v>
      </c>
      <c r="R44" s="37">
        <f t="shared" si="14"/>
        <v>-0.050240466617679114</v>
      </c>
    </row>
    <row r="45" spans="2:18" ht="15">
      <c r="B45" s="90" t="s">
        <v>65</v>
      </c>
      <c r="C45" s="152">
        <f>('C03'!C45/'C04'!$C$56)*100</f>
        <v>22974606.54122465</v>
      </c>
      <c r="D45" s="152">
        <f>('C03'!D45/'C04'!$C$57)*100</f>
        <v>26418938.807324007</v>
      </c>
      <c r="E45" s="152">
        <f>('C03'!E45/'C04'!$C$58)*100</f>
        <v>24062897.235347714</v>
      </c>
      <c r="F45" s="152">
        <f>('C03'!F45/'C04'!$C$59)*100</f>
        <v>27759072.701190528</v>
      </c>
      <c r="G45" s="152">
        <f>('C03'!G45/'C04'!$C$60)*100</f>
        <v>30795548.76024197</v>
      </c>
      <c r="H45" s="152">
        <f>('C03'!H45/'C04'!$C$61)*100</f>
        <v>31568295.66675797</v>
      </c>
      <c r="I45" s="152">
        <f>('C03'!I45/'C04'!$C$62)*100</f>
        <v>30710990.868929558</v>
      </c>
      <c r="J45" s="152">
        <f>('C03'!J45/'C04'!$C$63)*100</f>
        <v>28651001.05389105</v>
      </c>
      <c r="K45" s="62"/>
      <c r="L45" s="71">
        <f t="shared" si="9"/>
        <v>0.1499190969786139</v>
      </c>
      <c r="M45" s="71">
        <f t="shared" si="9"/>
        <v>-0.08918002305691165</v>
      </c>
      <c r="N45" s="71">
        <f t="shared" si="10"/>
        <v>0.1536047563056221</v>
      </c>
      <c r="O45" s="71">
        <f t="shared" si="11"/>
        <v>0.10938679730901872</v>
      </c>
      <c r="P45" s="71">
        <f t="shared" si="12"/>
        <v>0.02509281170899742</v>
      </c>
      <c r="Q45" s="71">
        <f t="shared" si="13"/>
        <v>-0.02715714547526784</v>
      </c>
      <c r="R45" s="71">
        <f t="shared" si="14"/>
        <v>-0.0670766314193596</v>
      </c>
    </row>
    <row r="46" spans="2:18" ht="15">
      <c r="B46" s="90" t="s">
        <v>66</v>
      </c>
      <c r="C46" s="152">
        <f>('C03'!C46/'C04'!$C$56)*100</f>
        <v>83526.99741827753</v>
      </c>
      <c r="D46" s="152">
        <f>('C03'!D46/'C04'!$C$57)*100</f>
        <v>697989.34989479</v>
      </c>
      <c r="E46" s="152">
        <f>('C03'!E46/'C04'!$C$58)*100</f>
        <v>422666.9047254523</v>
      </c>
      <c r="F46" s="152">
        <f>('C03'!F46/'C04'!$C$59)*100</f>
        <v>836896.9168944648</v>
      </c>
      <c r="G46" s="152">
        <f>('C03'!G46/'C04'!$C$60)*100</f>
        <v>687828.5361240664</v>
      </c>
      <c r="H46" s="152">
        <f>('C03'!H46/'C04'!$C$61)*100</f>
        <v>934062.242565544</v>
      </c>
      <c r="I46" s="152">
        <f>('C03'!I46/'C04'!$C$62)*100</f>
        <v>806976.1907491507</v>
      </c>
      <c r="J46" s="152">
        <f>('C03'!J46/'C04'!$C$63)*100</f>
        <v>1283488.6338687562</v>
      </c>
      <c r="K46" s="62"/>
      <c r="L46" s="71">
        <f t="shared" si="9"/>
        <v>7.356452063031475</v>
      </c>
      <c r="M46" s="71">
        <f t="shared" si="9"/>
        <v>-0.3944507823949432</v>
      </c>
      <c r="N46" s="71">
        <f t="shared" si="10"/>
        <v>0.9800389089798263</v>
      </c>
      <c r="O46" s="71">
        <f t="shared" si="11"/>
        <v>-0.17812036077699672</v>
      </c>
      <c r="P46" s="71">
        <f t="shared" si="12"/>
        <v>0.3579870469303462</v>
      </c>
      <c r="Q46" s="71">
        <f t="shared" si="13"/>
        <v>-0.13605736965379533</v>
      </c>
      <c r="R46" s="71">
        <f t="shared" si="14"/>
        <v>0.5904913287184329</v>
      </c>
    </row>
    <row r="47" spans="2:18" ht="15">
      <c r="B47" s="155" t="s">
        <v>67</v>
      </c>
      <c r="C47" s="34">
        <f>('C03'!C47/'C04'!$C$56)*100</f>
        <v>12692463.326831898</v>
      </c>
      <c r="D47" s="34">
        <f>('C03'!D47/'C04'!$C$57)*100</f>
        <v>13318936.033782732</v>
      </c>
      <c r="E47" s="34">
        <f>('C03'!E47/'C04'!$C$58)*100</f>
        <v>13296765.010319553</v>
      </c>
      <c r="F47" s="34">
        <f>('C03'!F47/'C04'!$C$59)*100</f>
        <v>12594996.892561022</v>
      </c>
      <c r="G47" s="34">
        <f>('C03'!G47/'C04'!$C$60)*100</f>
        <v>15680466.492187355</v>
      </c>
      <c r="H47" s="34">
        <f>('C03'!H47/'C04'!$C$61)*100</f>
        <v>17323065.37011155</v>
      </c>
      <c r="I47" s="34">
        <f>('C03'!I47/'C04'!$C$62)*100</f>
        <v>17413869.96462898</v>
      </c>
      <c r="J47" s="35">
        <f>('C03'!J47/'C04'!$C$63)*100</f>
        <v>14719911.377280194</v>
      </c>
      <c r="K47" s="62"/>
      <c r="L47" s="37">
        <f t="shared" si="9"/>
        <v>0.049357850467565995</v>
      </c>
      <c r="M47" s="37">
        <f t="shared" si="9"/>
        <v>-0.0016646242167499621</v>
      </c>
      <c r="N47" s="37">
        <f t="shared" si="10"/>
        <v>-0.05277735729058101</v>
      </c>
      <c r="O47" s="37">
        <f t="shared" si="11"/>
        <v>0.24497581269342766</v>
      </c>
      <c r="P47" s="37">
        <f t="shared" si="12"/>
        <v>0.10475446497351376</v>
      </c>
      <c r="Q47" s="37">
        <f t="shared" si="13"/>
        <v>0.00524183177615312</v>
      </c>
      <c r="R47" s="37">
        <f t="shared" si="14"/>
        <v>-0.15470188951799624</v>
      </c>
    </row>
    <row r="48" spans="2:18" ht="15">
      <c r="B48" s="91" t="s">
        <v>68</v>
      </c>
      <c r="C48" s="153">
        <f>('C03'!C48/'C04'!$C$56)*100</f>
        <v>12692463.326831898</v>
      </c>
      <c r="D48" s="153">
        <f>('C03'!D48/'C04'!$C$57)*100</f>
        <v>13318936.033782732</v>
      </c>
      <c r="E48" s="153">
        <f>('C03'!E48/'C04'!$C$58)*100</f>
        <v>13296765.010319553</v>
      </c>
      <c r="F48" s="153">
        <f>('C03'!F48/'C04'!$C$59)*100</f>
        <v>12594996.892561022</v>
      </c>
      <c r="G48" s="153">
        <f>('C03'!G48/'C04'!$C$60)*100</f>
        <v>15680466.492187355</v>
      </c>
      <c r="H48" s="153">
        <f>('C03'!H48/'C04'!$C$61)*100</f>
        <v>17323065.37011155</v>
      </c>
      <c r="I48" s="153">
        <f>('C03'!I48/'C04'!$C$62)*100</f>
        <v>17413869.96462898</v>
      </c>
      <c r="J48" s="153">
        <f>('C03'!J48/'C04'!$C$63)*100</f>
        <v>14719911.377280194</v>
      </c>
      <c r="K48" s="62"/>
      <c r="L48" s="72">
        <f t="shared" si="9"/>
        <v>0.049357850467565995</v>
      </c>
      <c r="M48" s="72">
        <f t="shared" si="9"/>
        <v>-0.0016646242167499621</v>
      </c>
      <c r="N48" s="72">
        <f t="shared" si="10"/>
        <v>-0.05277735729058101</v>
      </c>
      <c r="O48" s="72">
        <f t="shared" si="11"/>
        <v>0.24497581269342766</v>
      </c>
      <c r="P48" s="72">
        <f t="shared" si="12"/>
        <v>0.10475446497351376</v>
      </c>
      <c r="Q48" s="72">
        <f t="shared" si="13"/>
        <v>0.00524183177615312</v>
      </c>
      <c r="R48" s="72">
        <f t="shared" si="14"/>
        <v>-0.15470188951799624</v>
      </c>
    </row>
    <row r="49" spans="2:18" ht="1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74"/>
      <c r="M49" s="74"/>
      <c r="N49" s="74"/>
      <c r="O49" s="74"/>
      <c r="P49" s="74"/>
      <c r="Q49" s="74"/>
      <c r="R49" s="74"/>
    </row>
    <row r="50" spans="2:18" ht="15">
      <c r="B50" s="156" t="s">
        <v>20</v>
      </c>
      <c r="C50" s="40">
        <f>('C03'!C50/'C04'!$C$56)*100</f>
        <v>113012577.57464983</v>
      </c>
      <c r="D50" s="40">
        <f>('C03'!D50/'C04'!$C$57)*100</f>
        <v>123868876.65723918</v>
      </c>
      <c r="E50" s="40">
        <f>('C03'!E50/'C04'!$C$58)*100</f>
        <v>132029519.67988874</v>
      </c>
      <c r="F50" s="40">
        <f>('C03'!F50/'C04'!$C$59)*100</f>
        <v>135568353.3001087</v>
      </c>
      <c r="G50" s="40">
        <f>('C03'!G50/'C04'!$C$60)*100</f>
        <v>151231620.8096754</v>
      </c>
      <c r="H50" s="40">
        <f>('C03'!H50/'C04'!$C$61)*100</f>
        <v>161711610.86190408</v>
      </c>
      <c r="I50" s="40">
        <f>('C03'!I50/'C04'!$C$62)*100</f>
        <v>160683359.59611636</v>
      </c>
      <c r="J50" s="40">
        <f>('C03'!J50/'C04'!$C$63)*100</f>
        <v>155472962.54985732</v>
      </c>
      <c r="K50" s="62"/>
      <c r="L50" s="41">
        <f t="shared" si="9"/>
        <v>0.09606275085105719</v>
      </c>
      <c r="M50" s="41">
        <f t="shared" si="9"/>
        <v>0.06588130322059096</v>
      </c>
      <c r="N50" s="41">
        <f>(F50-E50)/E50</f>
        <v>0.026803351468671667</v>
      </c>
      <c r="O50" s="41">
        <f>(G50-F50)/F50</f>
        <v>0.11553778686750586</v>
      </c>
      <c r="P50" s="41">
        <f>(H50-G50)/G50</f>
        <v>0.06929761114851589</v>
      </c>
      <c r="Q50" s="41">
        <f t="shared" si="13"/>
        <v>-0.006358549397333073</v>
      </c>
      <c r="R50" s="29">
        <f>(J50-I50)/I50</f>
        <v>-0.0324264880903385</v>
      </c>
    </row>
    <row r="51" spans="2:18" ht="15">
      <c r="B51" s="62"/>
      <c r="C51" s="76"/>
      <c r="D51" s="76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2:18" ht="15">
      <c r="B52" s="62" t="s">
        <v>56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 ht="1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2:18" ht="1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2:18" ht="15">
      <c r="B55" s="62"/>
      <c r="C55" s="172" t="s">
        <v>70</v>
      </c>
      <c r="D55" s="172" t="s">
        <v>71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2:18" ht="15">
      <c r="B56" s="62"/>
      <c r="C56" s="169">
        <v>100.00000175000001</v>
      </c>
      <c r="D56" s="77">
        <v>2009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3:4" ht="15">
      <c r="C57" s="170">
        <v>101.52952908333333</v>
      </c>
      <c r="D57" s="78">
        <v>2010</v>
      </c>
    </row>
    <row r="58" spans="3:4" ht="15">
      <c r="C58" s="170">
        <v>104.95073458333336</v>
      </c>
      <c r="D58" s="78">
        <v>2011</v>
      </c>
    </row>
    <row r="59" spans="3:4" ht="15">
      <c r="C59" s="170">
        <v>108.78711833333335</v>
      </c>
      <c r="D59" s="78">
        <v>2012</v>
      </c>
    </row>
    <row r="60" spans="3:4" ht="15">
      <c r="C60" s="170">
        <v>111.83949716666666</v>
      </c>
      <c r="D60" s="78">
        <v>2013</v>
      </c>
    </row>
    <row r="61" spans="3:4" ht="15">
      <c r="C61" s="170">
        <v>115.46976366666665</v>
      </c>
      <c r="D61" s="78">
        <v>2014</v>
      </c>
    </row>
    <row r="62" spans="3:4" ht="15">
      <c r="C62" s="170">
        <v>119.56645625</v>
      </c>
      <c r="D62" s="78">
        <v>2015</v>
      </c>
    </row>
    <row r="63" spans="3:4" ht="15">
      <c r="C63" s="171">
        <v>123.862579333333</v>
      </c>
      <c r="D63" s="158">
        <v>2016</v>
      </c>
    </row>
  </sheetData>
  <sheetProtection/>
  <mergeCells count="27">
    <mergeCell ref="L8:R8"/>
    <mergeCell ref="B6:H6"/>
    <mergeCell ref="E8:E9"/>
    <mergeCell ref="F8:F9"/>
    <mergeCell ref="F35:F36"/>
    <mergeCell ref="I35:I36"/>
    <mergeCell ref="G8:G9"/>
    <mergeCell ref="G35:G36"/>
    <mergeCell ref="H8:H9"/>
    <mergeCell ref="J8:J9"/>
    <mergeCell ref="J35:J36"/>
    <mergeCell ref="B35:B36"/>
    <mergeCell ref="B8:B9"/>
    <mergeCell ref="C8:C9"/>
    <mergeCell ref="D8:D9"/>
    <mergeCell ref="D35:D36"/>
    <mergeCell ref="E35:E36"/>
    <mergeCell ref="L35:R35"/>
    <mergeCell ref="B30:J30"/>
    <mergeCell ref="B31:J31"/>
    <mergeCell ref="B32:J32"/>
    <mergeCell ref="B3:J3"/>
    <mergeCell ref="B4:J4"/>
    <mergeCell ref="B5:J5"/>
    <mergeCell ref="C35:C36"/>
    <mergeCell ref="H35:H36"/>
    <mergeCell ref="I8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59"/>
  <sheetViews>
    <sheetView showGridLines="0" zoomScale="80" zoomScaleNormal="80" zoomScalePageLayoutView="0" workbookViewId="0" topLeftCell="A1">
      <selection activeCell="J14" sqref="J14"/>
    </sheetView>
  </sheetViews>
  <sheetFormatPr defaultColWidth="11.421875" defaultRowHeight="12.75"/>
  <cols>
    <col min="1" max="1" width="7.57421875" style="0" customWidth="1"/>
    <col min="2" max="2" width="37.28125" style="0" bestFit="1" customWidth="1"/>
  </cols>
  <sheetData>
    <row r="3" spans="2:10" ht="15">
      <c r="B3" s="219" t="s">
        <v>13</v>
      </c>
      <c r="C3" s="219"/>
      <c r="D3" s="219"/>
      <c r="E3" s="219"/>
      <c r="F3" s="219"/>
      <c r="G3" s="219"/>
      <c r="H3" s="219"/>
      <c r="I3" s="219"/>
      <c r="J3" s="181"/>
    </row>
    <row r="4" spans="2:10" ht="15">
      <c r="B4" s="219" t="s">
        <v>29</v>
      </c>
      <c r="C4" s="219"/>
      <c r="D4" s="219"/>
      <c r="E4" s="219"/>
      <c r="F4" s="219"/>
      <c r="G4" s="219"/>
      <c r="H4" s="219"/>
      <c r="I4" s="219"/>
      <c r="J4" s="181"/>
    </row>
    <row r="5" spans="2:10" ht="15">
      <c r="B5" s="219" t="s">
        <v>72</v>
      </c>
      <c r="C5" s="219"/>
      <c r="D5" s="219"/>
      <c r="E5" s="219"/>
      <c r="F5" s="219"/>
      <c r="G5" s="219"/>
      <c r="H5" s="219"/>
      <c r="I5" s="219"/>
      <c r="J5" s="181"/>
    </row>
    <row r="6" spans="2:10" ht="15">
      <c r="B6" s="62"/>
      <c r="C6" s="62"/>
      <c r="D6" s="62"/>
      <c r="E6" s="62"/>
      <c r="F6" s="62"/>
      <c r="G6" s="62"/>
      <c r="H6" s="62"/>
      <c r="I6" s="62"/>
      <c r="J6" s="62"/>
    </row>
    <row r="7" spans="2:10" ht="12.75">
      <c r="B7" s="208" t="s">
        <v>30</v>
      </c>
      <c r="C7" s="223" t="s">
        <v>31</v>
      </c>
      <c r="D7" s="223" t="s">
        <v>32</v>
      </c>
      <c r="E7" s="223" t="s">
        <v>33</v>
      </c>
      <c r="F7" s="223" t="s">
        <v>34</v>
      </c>
      <c r="G7" s="223" t="s">
        <v>35</v>
      </c>
      <c r="H7" s="221" t="s">
        <v>36</v>
      </c>
      <c r="I7" s="221" t="s">
        <v>232</v>
      </c>
      <c r="J7" s="221" t="s">
        <v>246</v>
      </c>
    </row>
    <row r="8" spans="2:10" ht="12.75" customHeight="1">
      <c r="B8" s="209"/>
      <c r="C8" s="224"/>
      <c r="D8" s="224"/>
      <c r="E8" s="224"/>
      <c r="F8" s="224"/>
      <c r="G8" s="224"/>
      <c r="H8" s="222"/>
      <c r="I8" s="222"/>
      <c r="J8" s="222"/>
    </row>
    <row r="9" spans="2:10" ht="15">
      <c r="B9" s="62"/>
      <c r="C9" s="62"/>
      <c r="D9" s="62"/>
      <c r="E9" s="62"/>
      <c r="F9" s="62"/>
      <c r="G9" s="62"/>
      <c r="H9" s="62"/>
      <c r="I9" s="62"/>
      <c r="J9" s="62"/>
    </row>
    <row r="10" spans="2:10" ht="15">
      <c r="B10" s="157" t="s">
        <v>43</v>
      </c>
      <c r="C10" s="48">
        <f>('C03'!C11/'C05'!$B$52)*100</f>
        <v>24.39188966133214</v>
      </c>
      <c r="D10" s="48">
        <f>('C03'!D11/'C05'!$B$53)*100</f>
        <v>24.92979813875574</v>
      </c>
      <c r="E10" s="48">
        <f>('C03'!E11/'C05'!$B$54)*100</f>
        <v>26.199339146821554</v>
      </c>
      <c r="F10" s="48">
        <f>('C03'!F11/'C05'!$B$55)*100</f>
        <v>26.232397068968773</v>
      </c>
      <c r="G10" s="48">
        <f>('C03'!G11/'C05'!$B$56)*100</f>
        <v>26.40034596580455</v>
      </c>
      <c r="H10" s="48">
        <f>('C03'!H11/'C05'!$B$57)*100</f>
        <v>26.561969323659522</v>
      </c>
      <c r="I10" s="48">
        <f>('C03'!I11/'C05'!$B$58)*100</f>
        <v>23.85471292106439</v>
      </c>
      <c r="J10" s="48">
        <f>('C03'!J11/'C05'!$B$59)*100</f>
        <v>22.427648468583982</v>
      </c>
    </row>
    <row r="11" spans="2:10" ht="15">
      <c r="B11" s="90" t="s">
        <v>44</v>
      </c>
      <c r="C11" s="79">
        <f>('C03'!C12/'C05'!$B$52)*100</f>
        <v>13.020592448321569</v>
      </c>
      <c r="D11" s="79">
        <f>('C03'!D12/'C05'!$B$53)*100</f>
        <v>14.164993112230556</v>
      </c>
      <c r="E11" s="79">
        <f>('C03'!E12/'C05'!$B$54)*100</f>
        <v>14.756803678923669</v>
      </c>
      <c r="F11" s="79">
        <f>('C03'!F12/'C05'!$B$55)*100</f>
        <v>14.996039615905824</v>
      </c>
      <c r="G11" s="79">
        <f>('C03'!G12/'C05'!$B$56)*100</f>
        <v>15.135622986370546</v>
      </c>
      <c r="H11" s="79">
        <f>('C03'!H12/'C05'!$B$57)*100</f>
        <v>15.424141161418445</v>
      </c>
      <c r="I11" s="79">
        <f>('C03'!I12/'C05'!$B$58)*100</f>
        <v>13.837816208124746</v>
      </c>
      <c r="J11" s="79">
        <f>('C03'!J12/'C05'!$B$59)*100</f>
        <v>13.046643949999282</v>
      </c>
    </row>
    <row r="12" spans="2:13" ht="15">
      <c r="B12" s="90" t="s">
        <v>45</v>
      </c>
      <c r="C12" s="79">
        <f>('C03'!C13/'C05'!$B$52)*100</f>
        <v>0.3708418646348704</v>
      </c>
      <c r="D12" s="79">
        <f>('C03'!D13/'C05'!$B$53)*100</f>
        <v>0.3823499226656325</v>
      </c>
      <c r="E12" s="79">
        <f>('C03'!E13/'C05'!$B$54)*100</f>
        <v>0.40869997344978465</v>
      </c>
      <c r="F12" s="79">
        <f>('C03'!F13/'C05'!$B$55)*100</f>
        <v>0.4385830639047833</v>
      </c>
      <c r="G12" s="79">
        <f>('C03'!G13/'C05'!$B$56)*100</f>
        <v>0.476637587352892</v>
      </c>
      <c r="H12" s="79">
        <f>('C03'!H13/'C05'!$B$57)*100</f>
        <v>0.49404637593337425</v>
      </c>
      <c r="I12" s="79">
        <f>('C03'!I13/'C05'!$B$58)*100</f>
        <v>2.0097592533191633</v>
      </c>
      <c r="J12" s="79">
        <f>('C03'!J13/'C05'!$B$59)*100</f>
        <v>1.9776858219791975</v>
      </c>
      <c r="M12" s="49"/>
    </row>
    <row r="13" spans="2:10" ht="15">
      <c r="B13" s="154" t="s">
        <v>46</v>
      </c>
      <c r="C13" s="79">
        <f>('C03'!C14/'C05'!$B$52)*100</f>
        <v>7.557623675277999</v>
      </c>
      <c r="D13" s="79">
        <f>('C03'!D14/'C05'!$B$53)*100</f>
        <v>7.5649636747130184</v>
      </c>
      <c r="E13" s="79">
        <f>('C03'!E14/'C05'!$B$54)*100</f>
        <v>8.136013294941693</v>
      </c>
      <c r="F13" s="79">
        <f>('C03'!F14/'C05'!$B$55)*100</f>
        <v>8.071304964424897</v>
      </c>
      <c r="G13" s="79">
        <f>('C03'!G14/'C05'!$B$56)*100</f>
        <v>8.096912368696648</v>
      </c>
      <c r="H13" s="79">
        <f>('C03'!H14/'C05'!$B$57)*100</f>
        <v>7.9178064248194335</v>
      </c>
      <c r="I13" s="79">
        <f>('C03'!I14/'C05'!$B$58)*100</f>
        <v>5.205018736510591</v>
      </c>
      <c r="J13" s="79">
        <f>('C03'!J14/'C05'!$B$59)*100</f>
        <v>4.817764624916793</v>
      </c>
    </row>
    <row r="14" spans="2:10" ht="15">
      <c r="B14" s="90" t="s">
        <v>47</v>
      </c>
      <c r="C14" s="79">
        <f>('C03'!C15/'C05'!$B$52)*100</f>
        <v>3.4428316730976993</v>
      </c>
      <c r="D14" s="79">
        <f>('C03'!D15/'C05'!$B$53)*100</f>
        <v>2.8174914291465276</v>
      </c>
      <c r="E14" s="79">
        <f>('C03'!E15/'C05'!$B$54)*100</f>
        <v>2.89782219950641</v>
      </c>
      <c r="F14" s="79">
        <f>('C03'!F15/'C05'!$B$55)*100</f>
        <v>2.72646942473327</v>
      </c>
      <c r="G14" s="79">
        <f>('C03'!G15/'C05'!$B$56)*100</f>
        <v>2.6911730233844624</v>
      </c>
      <c r="H14" s="79">
        <f>('C03'!H15/'C05'!$B$57)*100</f>
        <v>2.7259753614882762</v>
      </c>
      <c r="I14" s="79">
        <f>('C03'!I15/'C05'!$B$58)*100</f>
        <v>2.802118723109896</v>
      </c>
      <c r="J14" s="79">
        <f>('C03'!J15/'C05'!$B$59)*100</f>
        <v>2.5855540716887093</v>
      </c>
    </row>
    <row r="15" spans="2:13" ht="15">
      <c r="B15" s="155" t="s">
        <v>48</v>
      </c>
      <c r="C15" s="50">
        <f>('C03'!C16/'C05'!$B$52)*100</f>
        <v>0.0638444207945745</v>
      </c>
      <c r="D15" s="50">
        <f>('C03'!D16/'C05'!$B$53)*100</f>
        <v>0.253121513693846</v>
      </c>
      <c r="E15" s="50">
        <f>('C03'!E16/'C05'!$B$54)*100</f>
        <v>0.09224671917499463</v>
      </c>
      <c r="F15" s="50">
        <f>('C03'!F16/'C05'!$B$55)*100</f>
        <v>0.06077856556762655</v>
      </c>
      <c r="G15" s="50">
        <f>('C03'!G16/'C05'!$B$56)*100</f>
        <v>0.12722400004353837</v>
      </c>
      <c r="H15" s="50">
        <f>('C03'!H16/'C05'!$B$57)*100</f>
        <v>0.044663413215483665</v>
      </c>
      <c r="I15" s="50">
        <f>('C03'!I16/'C05'!$B$58)*100</f>
        <v>0.05940068698291136</v>
      </c>
      <c r="J15" s="50">
        <f>('C03'!J16/'C05'!$B$59)*100</f>
        <v>0.2979934100667437</v>
      </c>
      <c r="M15" s="49"/>
    </row>
    <row r="16" spans="2:10" ht="15">
      <c r="B16" s="90" t="s">
        <v>49</v>
      </c>
      <c r="C16" s="79">
        <f>('C03'!C17/'C05'!$B$52)*100</f>
        <v>0.03381427861642284</v>
      </c>
      <c r="D16" s="79">
        <f>('C03'!D17/'C05'!$B$53)*100</f>
        <v>0.13469771740817404</v>
      </c>
      <c r="E16" s="79">
        <f>('C03'!E17/'C05'!$B$54)*100</f>
        <v>0.05624044846917303</v>
      </c>
      <c r="F16" s="79">
        <f>('C03'!F17/'C05'!$B$55)*100</f>
        <v>0.03562160562661137</v>
      </c>
      <c r="G16" s="79">
        <f>('C03'!G17/'C05'!$B$56)*100</f>
        <v>0.10474317319163497</v>
      </c>
      <c r="H16" s="79">
        <f>('C03'!H17/'C05'!$B$57)*100</f>
        <v>0.034591439593654516</v>
      </c>
      <c r="I16" s="79">
        <f>('C03'!I17/'C05'!$B$58)*100</f>
        <v>0.03166415236521046</v>
      </c>
      <c r="J16" s="79">
        <f>('C03'!J17/'C05'!$B$59)*100</f>
        <v>0.22700816938465485</v>
      </c>
    </row>
    <row r="17" spans="2:10" ht="15">
      <c r="B17" s="90" t="s">
        <v>50</v>
      </c>
      <c r="C17" s="79">
        <f>('C03'!C18/'C05'!$B$52)*100</f>
        <v>0.030030142178151663</v>
      </c>
      <c r="D17" s="79">
        <f>('C03'!D18/'C05'!$B$53)*100</f>
        <v>0.11842379628567194</v>
      </c>
      <c r="E17" s="79">
        <f>('C03'!E18/'C05'!$B$54)*100</f>
        <v>0.03600627070582161</v>
      </c>
      <c r="F17" s="79">
        <f>('C03'!F18/'C05'!$B$55)*100</f>
        <v>0.025156959941015182</v>
      </c>
      <c r="G17" s="79">
        <f>('C03'!G18/'C05'!$B$56)*100</f>
        <v>0.022480826851903404</v>
      </c>
      <c r="H17" s="79">
        <f>('C03'!H18/'C05'!$B$57)*100</f>
        <v>0.010071973621829149</v>
      </c>
      <c r="I17" s="79">
        <f>('C03'!I18/'C05'!$B$58)*100</f>
        <v>0.02773653461770089</v>
      </c>
      <c r="J17" s="79">
        <f>('C03'!J18/'C05'!$B$59)*100</f>
        <v>0.0709852406820888</v>
      </c>
    </row>
    <row r="18" spans="2:10" ht="15">
      <c r="B18" s="155" t="s">
        <v>51</v>
      </c>
      <c r="C18" s="50">
        <f>('C03'!C19/'C05'!$B$52)*100</f>
        <v>4.0069705331538366</v>
      </c>
      <c r="D18" s="50">
        <f>('C03'!D19/'C05'!$B$53)*100</f>
        <v>3.8852009321061503</v>
      </c>
      <c r="E18" s="50">
        <f>('C03'!E19/'C05'!$B$54)*100</f>
        <v>4.209258905522893</v>
      </c>
      <c r="F18" s="50">
        <f>('C03'!F19/'C05'!$B$55)*100</f>
        <v>4.113672329180946</v>
      </c>
      <c r="G18" s="50">
        <f>('C03'!G19/'C05'!$B$56)*100</f>
        <v>4.169672997156911</v>
      </c>
      <c r="H18" s="50">
        <f>('C03'!H19/'C05'!$B$57)*100</f>
        <v>4.023699594743428</v>
      </c>
      <c r="I18" s="50">
        <f>('C03'!I19/'C05'!$B$58)*100</f>
        <v>3.7428364958568543</v>
      </c>
      <c r="J18" s="50">
        <f>('C03'!J19/'C05'!$B$59)*100</f>
        <v>2.9707147744943083</v>
      </c>
    </row>
    <row r="19" spans="2:10" ht="15">
      <c r="B19" s="90" t="s">
        <v>52</v>
      </c>
      <c r="C19" s="79">
        <f>('C03'!C20/'C05'!$B$52)*100</f>
        <v>4.0069705331538366</v>
      </c>
      <c r="D19" s="79">
        <f>('C03'!D20/'C05'!$B$53)*100</f>
        <v>3.8852009321061503</v>
      </c>
      <c r="E19" s="79">
        <f>('C03'!E20/'C05'!$B$54)*100</f>
        <v>4.209258905522893</v>
      </c>
      <c r="F19" s="79">
        <f>('C03'!F20/'C05'!$B$55)*100</f>
        <v>4.113672329180946</v>
      </c>
      <c r="G19" s="79">
        <f>('C03'!G20/'C05'!$B$56)*100</f>
        <v>4.169672997156911</v>
      </c>
      <c r="H19" s="79">
        <f>('C03'!H20/'C05'!$B$57)*100</f>
        <v>4.023699594743428</v>
      </c>
      <c r="I19" s="79">
        <f>('C03'!I20/'C05'!$B$58)*100</f>
        <v>3.7428364958568543</v>
      </c>
      <c r="J19" s="79">
        <f>('C03'!J20/'C05'!$B$59)*100</f>
        <v>2.9707147744943083</v>
      </c>
    </row>
    <row r="20" spans="2:10" ht="15">
      <c r="B20" s="155" t="s">
        <v>53</v>
      </c>
      <c r="C20" s="50">
        <f>('C03'!C21/'C05'!$B$52)*100</f>
        <v>8.781989460094781</v>
      </c>
      <c r="D20" s="50">
        <f>('C03'!D21/'C05'!$B$53)*100</f>
        <v>8.128938654333853</v>
      </c>
      <c r="E20" s="50">
        <f>('C03'!E21/'C05'!$B$54)*100</f>
        <v>5.669655331021817</v>
      </c>
      <c r="F20" s="50">
        <f>('C03'!F21/'C05'!$B$55)*100</f>
        <v>6.324990754404736</v>
      </c>
      <c r="G20" s="50">
        <f>('C03'!G21/'C05'!$B$56)*100</f>
        <v>6.63515907000829</v>
      </c>
      <c r="H20" s="50">
        <f>('C03'!H21/'C05'!$B$57)*100</f>
        <v>8.172910068780572</v>
      </c>
      <c r="I20" s="50">
        <f>('C03'!I21/'C05'!$B$58)*100</f>
        <v>9.653232080350445</v>
      </c>
      <c r="J20" s="50">
        <f>('C03'!J21/'C05'!$B$59)*100</f>
        <v>10.497265232361222</v>
      </c>
    </row>
    <row r="21" spans="2:10" ht="15">
      <c r="B21" s="90" t="s">
        <v>54</v>
      </c>
      <c r="C21" s="79">
        <f>('C03'!C22/'C05'!$B$52)*100</f>
        <v>3.3713646180694528</v>
      </c>
      <c r="D21" s="79">
        <f>('C03'!D22/'C05'!$B$53)*100</f>
        <v>3.323033584396883</v>
      </c>
      <c r="E21" s="79">
        <f>('C03'!E22/'C05'!$B$54)*100</f>
        <v>2.2015102884334934</v>
      </c>
      <c r="F21" s="79">
        <f>('C03'!F22/'C05'!$B$55)*100</f>
        <v>2.0830356436740907</v>
      </c>
      <c r="G21" s="79">
        <f>('C03'!G22/'C05'!$B$56)*100</f>
        <v>2.375263203897991</v>
      </c>
      <c r="H21" s="79">
        <f>('C03'!H22/'C05'!$B$57)*100</f>
        <v>3.6565491911116252</v>
      </c>
      <c r="I21" s="79">
        <f>('C03'!I22/'C05'!$B$58)*100</f>
        <v>5.000669458014329</v>
      </c>
      <c r="J21" s="79">
        <f>('C03'!J22/'C05'!$B$59)*100</f>
        <v>4.452014889383682</v>
      </c>
    </row>
    <row r="22" spans="2:10" ht="15">
      <c r="B22" s="91" t="s">
        <v>55</v>
      </c>
      <c r="C22" s="80">
        <f>('C03'!C23/'C05'!$B$52)*100</f>
        <v>5.410624814632237</v>
      </c>
      <c r="D22" s="80">
        <f>('C03'!D23/'C05'!$B$53)*100</f>
        <v>4.805905069936971</v>
      </c>
      <c r="E22" s="80">
        <f>('C03'!E23/'C05'!$B$54)*100</f>
        <v>3.4681450278816603</v>
      </c>
      <c r="F22" s="80">
        <f>('C03'!F23/'C05'!$B$55)*100</f>
        <v>4.241955110730646</v>
      </c>
      <c r="G22" s="80">
        <f>('C03'!G23/'C05'!$B$56)*100</f>
        <v>4.259895866110299</v>
      </c>
      <c r="H22" s="80">
        <f>('C03'!H23/'C05'!$B$57)*100</f>
        <v>4.516360877668948</v>
      </c>
      <c r="I22" s="80">
        <f>('C03'!I23/'C05'!$B$58)*100</f>
        <v>4.6525626223361165</v>
      </c>
      <c r="J22" s="80">
        <f>('C03'!J23/'C05'!$B$59)*100</f>
        <v>6.045250342977539</v>
      </c>
    </row>
    <row r="23" spans="2:10" ht="7.5" customHeight="1">
      <c r="B23" s="62"/>
      <c r="C23" s="81"/>
      <c r="D23" s="81"/>
      <c r="E23" s="81"/>
      <c r="F23" s="81"/>
      <c r="G23" s="81"/>
      <c r="H23" s="81"/>
      <c r="I23" s="81"/>
      <c r="J23" s="81"/>
    </row>
    <row r="24" spans="2:10" ht="15">
      <c r="B24" s="44" t="s">
        <v>19</v>
      </c>
      <c r="C24" s="51">
        <f>('C03'!C25/'C05'!$B$52)*100</f>
        <v>37.24469407537533</v>
      </c>
      <c r="D24" s="51">
        <f>('C03'!D25/'C05'!$B$53)*100</f>
        <v>37.19705923888958</v>
      </c>
      <c r="E24" s="51">
        <f>('C03'!E25/'C05'!$B$54)*100</f>
        <v>36.17050010254126</v>
      </c>
      <c r="F24" s="51">
        <f>('C03'!F25/'C05'!$B$55)*100</f>
        <v>36.731838718122084</v>
      </c>
      <c r="G24" s="51">
        <f>('C03'!G25/'C05'!$B$56)*100</f>
        <v>37.33240203301328</v>
      </c>
      <c r="H24" s="51">
        <f>('C03'!H25/'C05'!$B$57)*100</f>
        <v>38.803242400399014</v>
      </c>
      <c r="I24" s="51">
        <f>('C03'!I25/'C05'!$B$58)*100</f>
        <v>37.31018218425461</v>
      </c>
      <c r="J24" s="51">
        <f>('C03'!J25/'C05'!$B$59)*100</f>
        <v>36.19362188550625</v>
      </c>
    </row>
    <row r="25" spans="2:10" ht="15">
      <c r="B25" s="62"/>
      <c r="C25" s="62"/>
      <c r="D25" s="62"/>
      <c r="E25" s="62"/>
      <c r="F25" s="62"/>
      <c r="G25" s="62"/>
      <c r="H25" s="62"/>
      <c r="I25" s="62"/>
      <c r="J25" s="62"/>
    </row>
    <row r="26" spans="2:10" ht="15">
      <c r="B26" s="62"/>
      <c r="C26" s="62"/>
      <c r="D26" s="62"/>
      <c r="E26" s="62"/>
      <c r="F26" s="62"/>
      <c r="G26" s="62"/>
      <c r="H26" s="62"/>
      <c r="I26" s="62"/>
      <c r="J26" s="62"/>
    </row>
    <row r="27" spans="2:10" ht="15">
      <c r="B27" s="62"/>
      <c r="C27" s="62"/>
      <c r="D27" s="62"/>
      <c r="E27" s="62"/>
      <c r="F27" s="62"/>
      <c r="G27" s="62"/>
      <c r="H27" s="62"/>
      <c r="I27" s="62"/>
      <c r="J27" s="62"/>
    </row>
    <row r="28" spans="2:10" ht="15">
      <c r="B28" s="62"/>
      <c r="C28" s="62"/>
      <c r="D28" s="62"/>
      <c r="E28" s="62"/>
      <c r="F28" s="62"/>
      <c r="G28" s="62"/>
      <c r="H28" s="62"/>
      <c r="I28" s="62"/>
      <c r="J28" s="62"/>
    </row>
    <row r="29" spans="2:10" ht="15">
      <c r="B29" s="219" t="s">
        <v>13</v>
      </c>
      <c r="C29" s="219"/>
      <c r="D29" s="219"/>
      <c r="E29" s="219"/>
      <c r="F29" s="219"/>
      <c r="G29" s="219"/>
      <c r="H29" s="219"/>
      <c r="I29" s="219"/>
      <c r="J29" s="181"/>
    </row>
    <row r="30" spans="2:10" ht="15">
      <c r="B30" s="219" t="s">
        <v>57</v>
      </c>
      <c r="C30" s="219"/>
      <c r="D30" s="219"/>
      <c r="E30" s="219"/>
      <c r="F30" s="219"/>
      <c r="G30" s="219"/>
      <c r="H30" s="219"/>
      <c r="I30" s="219"/>
      <c r="J30" s="181"/>
    </row>
    <row r="31" spans="2:10" ht="15">
      <c r="B31" s="219" t="s">
        <v>72</v>
      </c>
      <c r="C31" s="219"/>
      <c r="D31" s="219"/>
      <c r="E31" s="219"/>
      <c r="F31" s="219"/>
      <c r="G31" s="219"/>
      <c r="H31" s="219"/>
      <c r="I31" s="219"/>
      <c r="J31" s="181"/>
    </row>
    <row r="32" spans="2:10" ht="15">
      <c r="B32" s="62"/>
      <c r="C32" s="62"/>
      <c r="D32" s="62"/>
      <c r="E32" s="62"/>
      <c r="F32" s="62"/>
      <c r="G32" s="62"/>
      <c r="H32" s="62"/>
      <c r="I32" s="62"/>
      <c r="J32" s="62"/>
    </row>
    <row r="33" spans="2:10" ht="12.75">
      <c r="B33" s="208" t="s">
        <v>58</v>
      </c>
      <c r="C33" s="223" t="s">
        <v>31</v>
      </c>
      <c r="D33" s="223" t="s">
        <v>32</v>
      </c>
      <c r="E33" s="223" t="s">
        <v>33</v>
      </c>
      <c r="F33" s="223" t="s">
        <v>34</v>
      </c>
      <c r="G33" s="223" t="s">
        <v>35</v>
      </c>
      <c r="H33" s="221" t="s">
        <v>36</v>
      </c>
      <c r="I33" s="221" t="s">
        <v>232</v>
      </c>
      <c r="J33" s="221" t="s">
        <v>246</v>
      </c>
    </row>
    <row r="34" spans="2:10" ht="12.75">
      <c r="B34" s="209"/>
      <c r="C34" s="224"/>
      <c r="D34" s="224"/>
      <c r="E34" s="224"/>
      <c r="F34" s="224"/>
      <c r="G34" s="224"/>
      <c r="H34" s="222"/>
      <c r="I34" s="222"/>
      <c r="J34" s="222"/>
    </row>
    <row r="35" spans="2:10" ht="15">
      <c r="B35" s="62"/>
      <c r="C35" s="62"/>
      <c r="D35" s="62"/>
      <c r="E35" s="62"/>
      <c r="F35" s="62"/>
      <c r="G35" s="62"/>
      <c r="H35" s="62"/>
      <c r="I35" s="62"/>
      <c r="J35" s="62"/>
    </row>
    <row r="36" spans="2:10" ht="15">
      <c r="B36" s="25" t="s">
        <v>59</v>
      </c>
      <c r="C36" s="48">
        <f>('C03'!C38/'C05'!$B$52)*100</f>
        <v>21.16444539756676</v>
      </c>
      <c r="D36" s="48">
        <f>('C03'!D38/'C05'!$B$53)*100</f>
        <v>20.183568185338785</v>
      </c>
      <c r="E36" s="48">
        <f>('C03'!E38/'C05'!$B$54)*100</f>
        <v>21.051847006125843</v>
      </c>
      <c r="F36" s="48">
        <f>('C03'!F38/'C05'!$B$55)*100</f>
        <v>20.197749850902866</v>
      </c>
      <c r="G36" s="48">
        <f>('C03'!G38/'C05'!$B$56)*100</f>
        <v>21.334132056146593</v>
      </c>
      <c r="H36" s="48">
        <f>('C03'!H38/'C05'!$B$57)*100</f>
        <v>22.464087992701913</v>
      </c>
      <c r="I36" s="48">
        <f>('C03'!I38/'C05'!$B$58)*100</f>
        <v>21.833969895600557</v>
      </c>
      <c r="J36" s="48">
        <f>('C03'!J38/'C05'!$B$59)*100</f>
        <v>20.838020645087056</v>
      </c>
    </row>
    <row r="37" spans="2:10" ht="15">
      <c r="B37" s="4" t="s">
        <v>60</v>
      </c>
      <c r="C37" s="79">
        <f>('C03'!C39/'C05'!$B$52)*100</f>
        <v>6.727372554183177</v>
      </c>
      <c r="D37" s="79">
        <f>('C03'!D39/'C05'!$B$53)*100</f>
        <v>6.170673302830516</v>
      </c>
      <c r="E37" s="79">
        <f>('C03'!E39/'C05'!$B$54)*100</f>
        <v>5.991804869523127</v>
      </c>
      <c r="F37" s="79">
        <f>('C03'!F39/'C05'!$B$55)*100</f>
        <v>6.069459828719586</v>
      </c>
      <c r="G37" s="79">
        <f>('C03'!G39/'C05'!$B$56)*100</f>
        <v>6.377446222504127</v>
      </c>
      <c r="H37" s="79">
        <f>('C03'!H39/'C05'!$B$57)*100</f>
        <v>6.981882944020677</v>
      </c>
      <c r="I37" s="79">
        <f>('C03'!I39/'C05'!$B$58)*100</f>
        <v>6.86064283101916</v>
      </c>
      <c r="J37" s="79">
        <f>('C03'!J39/'C05'!$B$59)*100</f>
        <v>6.985400474761949</v>
      </c>
    </row>
    <row r="38" spans="2:10" ht="15">
      <c r="B38" s="4" t="s">
        <v>61</v>
      </c>
      <c r="C38" s="79">
        <f>('C03'!C40/'C05'!$B$52)*100</f>
        <v>3.207494824869945</v>
      </c>
      <c r="D38" s="79">
        <f>('C03'!D40/'C05'!$B$53)*100</f>
        <v>2.877103434985906</v>
      </c>
      <c r="E38" s="79">
        <f>('C03'!E40/'C05'!$B$54)*100</f>
        <v>2.6761620542931315</v>
      </c>
      <c r="F38" s="79">
        <f>('C03'!F40/'C05'!$B$55)*100</f>
        <v>2.515747378412954</v>
      </c>
      <c r="G38" s="79">
        <f>('C03'!G40/'C05'!$B$56)*100</f>
        <v>2.4155309802397067</v>
      </c>
      <c r="H38" s="79">
        <f>('C03'!H40/'C05'!$B$57)*100</f>
        <v>2.5528055975209725</v>
      </c>
      <c r="I38" s="79">
        <f>('C03'!I40/'C05'!$B$58)*100</f>
        <v>2.2764001036773163</v>
      </c>
      <c r="J38" s="79">
        <f>('C03'!J40/'C05'!$B$59)*100</f>
        <v>2.1614097645057</v>
      </c>
    </row>
    <row r="39" spans="2:10" ht="15">
      <c r="B39" s="4" t="s">
        <v>62</v>
      </c>
      <c r="C39" s="79">
        <f>('C03'!C41/'C05'!$B$52)*100</f>
        <v>7.72650403578862</v>
      </c>
      <c r="D39" s="79">
        <f>('C03'!D41/'C05'!$B$53)*100</f>
        <v>8.045182048130052</v>
      </c>
      <c r="E39" s="79">
        <f>('C03'!E41/'C05'!$B$54)*100</f>
        <v>8.523195592007482</v>
      </c>
      <c r="F39" s="79">
        <f>('C03'!F41/'C05'!$B$55)*100</f>
        <v>8.599624436129238</v>
      </c>
      <c r="G39" s="79">
        <f>('C03'!G41/'C05'!$B$56)*100</f>
        <v>9.071626911909366</v>
      </c>
      <c r="H39" s="79">
        <f>('C03'!H41/'C05'!$B$57)*100</f>
        <v>9.257519391901452</v>
      </c>
      <c r="I39" s="79">
        <f>('C03'!I41/'C05'!$B$58)*100</f>
        <v>8.874493449236336</v>
      </c>
      <c r="J39" s="79">
        <f>('C03'!J41/'C05'!$B$59)*100</f>
        <v>8.61776493110483</v>
      </c>
    </row>
    <row r="40" spans="2:10" ht="15">
      <c r="B40" s="4" t="s">
        <v>52</v>
      </c>
      <c r="C40" s="79">
        <f>('C03'!C42/'C05'!$B$52)*100</f>
        <v>1.8090133519050935</v>
      </c>
      <c r="D40" s="79">
        <f>('C03'!D42/'C05'!$B$53)*100</f>
        <v>1.7853048018139281</v>
      </c>
      <c r="E40" s="79">
        <f>('C03'!E42/'C05'!$B$54)*100</f>
        <v>2.2841730259973763</v>
      </c>
      <c r="F40" s="79">
        <f>('C03'!F42/'C05'!$B$55)*100</f>
        <v>1.8605808582091574</v>
      </c>
      <c r="G40" s="79">
        <f>('C03'!G42/'C05'!$B$56)*100</f>
        <v>1.9803188236513243</v>
      </c>
      <c r="H40" s="79">
        <f>('C03'!H42/'C05'!$B$57)*100</f>
        <v>2.000877438242528</v>
      </c>
      <c r="I40" s="79">
        <f>('C03'!I42/'C05'!$B$58)*100</f>
        <v>2.076788929641895</v>
      </c>
      <c r="J40" s="79">
        <f>('C03'!J42/'C05'!$B$59)*100</f>
        <v>1.4637653159204225</v>
      </c>
    </row>
    <row r="41" spans="2:10" ht="15">
      <c r="B41" s="4" t="s">
        <v>63</v>
      </c>
      <c r="C41" s="79">
        <f>('C03'!C43/'C05'!$B$52)*100</f>
        <v>1.694060658213009</v>
      </c>
      <c r="D41" s="79">
        <f>('C03'!D43/'C05'!$B$53)*100</f>
        <v>1.3053045975783866</v>
      </c>
      <c r="E41" s="79">
        <f>('C03'!E43/'C05'!$B$54)*100</f>
        <v>1.5765114643047269</v>
      </c>
      <c r="F41" s="79">
        <f>('C03'!F43/'C05'!$B$55)*100</f>
        <v>1.1523373494319287</v>
      </c>
      <c r="G41" s="79">
        <f>('C03'!G43/'C05'!$B$56)*100</f>
        <v>1.4892091178420719</v>
      </c>
      <c r="H41" s="79">
        <f>('C03'!H43/'C05'!$B$57)*100</f>
        <v>1.671002621016281</v>
      </c>
      <c r="I41" s="79">
        <f>('C03'!I43/'C05'!$B$58)*100</f>
        <v>1.7456445820258502</v>
      </c>
      <c r="J41" s="79">
        <f>('C03'!J43/'C05'!$B$59)*100</f>
        <v>1.6096801587941574</v>
      </c>
    </row>
    <row r="42" spans="2:10" ht="15">
      <c r="B42" s="33" t="s">
        <v>64</v>
      </c>
      <c r="C42" s="50">
        <f>('C03'!C44/'C05'!$B$52)*100</f>
        <v>6.316335716079546</v>
      </c>
      <c r="D42" s="50">
        <f>('C03'!D44/'C05'!$B$53)*100</f>
        <v>6.559949740034115</v>
      </c>
      <c r="E42" s="50">
        <f>('C03'!E44/'C05'!$B$54)*100</f>
        <v>5.469302026294131</v>
      </c>
      <c r="F42" s="50">
        <f>('C03'!F44/'C05'!$B$55)*100</f>
        <v>6.119837184923896</v>
      </c>
      <c r="G42" s="50">
        <f>('C03'!G44/'C05'!$B$56)*100</f>
        <v>6.454164276785078</v>
      </c>
      <c r="H42" s="50">
        <f>('C03'!H44/'C05'!$B$57)*100</f>
        <v>6.525701195307655</v>
      </c>
      <c r="I42" s="50">
        <f>('C03'!I44/'C05'!$B$58)*100</f>
        <v>6.1579683937582095</v>
      </c>
      <c r="J42" s="50">
        <f>('C03'!J44/'C05'!$B$59)*100</f>
        <v>5.628799956938125</v>
      </c>
    </row>
    <row r="43" spans="2:10" ht="15">
      <c r="B43" s="4" t="s">
        <v>65</v>
      </c>
      <c r="C43" s="79">
        <f>('C03'!C45/'C05'!$B$52)*100</f>
        <v>6.293455088895833</v>
      </c>
      <c r="D43" s="79">
        <f>('C03'!D45/'C05'!$B$53)*100</f>
        <v>6.391096725863704</v>
      </c>
      <c r="E43" s="79">
        <f>('C03'!E45/'C05'!$B$54)*100</f>
        <v>5.374891583257654</v>
      </c>
      <c r="F43" s="79">
        <f>('C03'!F45/'C05'!$B$55)*100</f>
        <v>5.940732474002682</v>
      </c>
      <c r="G43" s="79">
        <f>('C03'!G45/'C05'!$B$56)*100</f>
        <v>6.3131578553768595</v>
      </c>
      <c r="H43" s="79">
        <f>('C03'!H45/'C05'!$B$57)*100</f>
        <v>6.3381636908039205</v>
      </c>
      <c r="I43" s="79">
        <f>('C03'!I45/'C05'!$B$58)*100</f>
        <v>6.000301693119196</v>
      </c>
      <c r="J43" s="79">
        <f>('C03'!J45/'C05'!$B$59)*100</f>
        <v>5.38745624797872</v>
      </c>
    </row>
    <row r="44" spans="2:10" ht="15">
      <c r="B44" s="4" t="s">
        <v>66</v>
      </c>
      <c r="C44" s="79">
        <f>('C03'!C46/'C05'!$B$52)*100</f>
        <v>0.022880627183712678</v>
      </c>
      <c r="D44" s="79">
        <f>('C03'!D46/'C05'!$B$53)*100</f>
        <v>0.16885301417041199</v>
      </c>
      <c r="E44" s="79">
        <f>('C03'!E46/'C05'!$B$54)*100</f>
        <v>0.09441044303647712</v>
      </c>
      <c r="F44" s="79">
        <f>('C03'!F46/'C05'!$B$55)*100</f>
        <v>0.17910471092121324</v>
      </c>
      <c r="G44" s="79">
        <f>('C03'!G46/'C05'!$B$56)*100</f>
        <v>0.14100642140821837</v>
      </c>
      <c r="H44" s="79">
        <f>('C03'!H46/'C05'!$B$57)*100</f>
        <v>0.18753750450373358</v>
      </c>
      <c r="I44" s="79">
        <f>('C03'!I46/'C05'!$B$58)*100</f>
        <v>0.15766670063901397</v>
      </c>
      <c r="J44" s="79">
        <f>('C03'!J46/'C05'!$B$59)*100</f>
        <v>0.2413437089594055</v>
      </c>
    </row>
    <row r="45" spans="2:10" ht="15">
      <c r="B45" s="33" t="s">
        <v>67</v>
      </c>
      <c r="C45" s="50">
        <f>('C03'!C47/'C05'!$B$52)*100</f>
        <v>3.4768581464732238</v>
      </c>
      <c r="D45" s="50">
        <f>('C03'!D47/'C05'!$B$53)*100</f>
        <v>3.222029813472249</v>
      </c>
      <c r="E45" s="50">
        <f>('C03'!E47/'C05'!$B$54)*100</f>
        <v>2.970077528051609</v>
      </c>
      <c r="F45" s="50">
        <f>('C03'!F47/'C05'!$B$55)*100</f>
        <v>2.6954613309684192</v>
      </c>
      <c r="G45" s="50">
        <f>('C03'!G47/'C05'!$B$56)*100</f>
        <v>3.214531456537305</v>
      </c>
      <c r="H45" s="50">
        <f>('C03'!H47/'C05'!$B$57)*100</f>
        <v>3.478059921298874</v>
      </c>
      <c r="I45" s="50">
        <f>('C03'!I47/'C05'!$B$58)*100</f>
        <v>3.4023152778906987</v>
      </c>
      <c r="J45" s="50">
        <f>('C03'!J47/'C05'!$B$59)*100</f>
        <v>2.7678920666700826</v>
      </c>
    </row>
    <row r="46" spans="2:10" ht="15">
      <c r="B46" s="66" t="s">
        <v>68</v>
      </c>
      <c r="C46" s="80">
        <f>('C03'!C48/'C05'!$B$52)*100</f>
        <v>3.4768581464732238</v>
      </c>
      <c r="D46" s="80">
        <f>('C03'!D48/'C05'!$B$53)*100</f>
        <v>3.222029813472249</v>
      </c>
      <c r="E46" s="80">
        <f>('C03'!E48/'C05'!$B$54)*100</f>
        <v>2.970077528051609</v>
      </c>
      <c r="F46" s="80">
        <f>('C03'!F48/'C05'!$B$55)*100</f>
        <v>2.6954613309684192</v>
      </c>
      <c r="G46" s="80">
        <f>('C03'!G48/'C05'!$B$56)*100</f>
        <v>3.214531456537305</v>
      </c>
      <c r="H46" s="80">
        <f>('C03'!H48/'C05'!$B$57)*100</f>
        <v>3.478059921298874</v>
      </c>
      <c r="I46" s="80">
        <f>('C03'!I48/'C05'!$B$58)*100</f>
        <v>3.4023152778906987</v>
      </c>
      <c r="J46" s="80">
        <f>('C03'!J48/'C05'!$B$59)*100</f>
        <v>2.7678920666700826</v>
      </c>
    </row>
    <row r="47" spans="2:10" ht="8.25" customHeight="1">
      <c r="B47" s="62"/>
      <c r="C47" s="81"/>
      <c r="D47" s="81"/>
      <c r="E47" s="81"/>
      <c r="F47" s="81"/>
      <c r="G47" s="81"/>
      <c r="H47" s="81"/>
      <c r="I47" s="81"/>
      <c r="J47" s="81"/>
    </row>
    <row r="48" spans="2:10" ht="15">
      <c r="B48" s="44" t="s">
        <v>20</v>
      </c>
      <c r="C48" s="51">
        <f>('C03'!C50/'C05'!$B$52)*100</f>
        <v>30.957639260119524</v>
      </c>
      <c r="D48" s="51">
        <f>('C03'!D50/'C05'!$B$53)*100</f>
        <v>29.96554773884515</v>
      </c>
      <c r="E48" s="51">
        <f>('C03'!E50/'C05'!$B$54)*100</f>
        <v>29.491226560471578</v>
      </c>
      <c r="F48" s="51">
        <f>('C03'!F50/'C05'!$B$55)*100</f>
        <v>29.01304836679518</v>
      </c>
      <c r="G48" s="51">
        <f>('C03'!G50/'C05'!$B$56)*100</f>
        <v>31.002827789468977</v>
      </c>
      <c r="H48" s="51">
        <f>('C03'!H50/'C05'!$B$57)*100</f>
        <v>32.467849109308446</v>
      </c>
      <c r="I48" s="51">
        <f>('C03'!I50/'C05'!$B$58)*100</f>
        <v>31.394253567249468</v>
      </c>
      <c r="J48" s="51">
        <f>('C03'!J50/'C05'!$B$59)*100</f>
        <v>29.234712668695266</v>
      </c>
    </row>
    <row r="49" spans="2:10" ht="15">
      <c r="B49" s="62"/>
      <c r="C49" s="62"/>
      <c r="D49" s="62"/>
      <c r="E49" s="62"/>
      <c r="F49" s="62"/>
      <c r="G49" s="62"/>
      <c r="H49" s="62"/>
      <c r="I49" s="62"/>
      <c r="J49" s="62"/>
    </row>
    <row r="50" spans="2:10" ht="15">
      <c r="B50" s="62"/>
      <c r="C50" s="62"/>
      <c r="D50" s="62"/>
      <c r="E50" s="62"/>
      <c r="F50" s="62"/>
      <c r="G50" s="62"/>
      <c r="H50" s="62"/>
      <c r="I50" s="62"/>
      <c r="J50" s="62"/>
    </row>
    <row r="51" spans="2:10" ht="15">
      <c r="B51" s="159" t="s">
        <v>248</v>
      </c>
      <c r="C51" s="160" t="s">
        <v>73</v>
      </c>
      <c r="D51" s="62"/>
      <c r="E51" s="62"/>
      <c r="F51" s="62"/>
      <c r="G51" s="62"/>
      <c r="H51" s="62"/>
      <c r="I51" s="62"/>
      <c r="J51" s="62"/>
    </row>
    <row r="52" spans="2:10" ht="15">
      <c r="B52" s="82">
        <v>365055547.68821096</v>
      </c>
      <c r="C52" s="77">
        <v>2009</v>
      </c>
      <c r="D52" s="62"/>
      <c r="E52" s="62"/>
      <c r="F52" s="62"/>
      <c r="G52" s="62"/>
      <c r="H52" s="62"/>
      <c r="I52" s="62"/>
      <c r="J52" s="62"/>
    </row>
    <row r="53" spans="2:10" ht="15">
      <c r="B53" s="83">
        <v>419693603.62426925</v>
      </c>
      <c r="C53" s="78">
        <v>2010</v>
      </c>
      <c r="D53" s="62"/>
      <c r="E53" s="62"/>
      <c r="F53" s="62"/>
      <c r="G53" s="62"/>
      <c r="H53" s="62"/>
      <c r="I53" s="62"/>
      <c r="J53" s="62"/>
    </row>
    <row r="54" spans="2:10" ht="15">
      <c r="B54" s="83">
        <v>469854824.4060357</v>
      </c>
      <c r="C54" s="78">
        <v>2011</v>
      </c>
      <c r="D54" s="62"/>
      <c r="E54" s="62"/>
      <c r="F54" s="62"/>
      <c r="G54" s="62"/>
      <c r="H54" s="62"/>
      <c r="I54" s="62"/>
      <c r="J54" s="62"/>
    </row>
    <row r="55" spans="2:10" ht="15">
      <c r="B55" s="83">
        <v>508326126.4470557</v>
      </c>
      <c r="C55" s="78">
        <v>2012</v>
      </c>
      <c r="D55" s="62"/>
      <c r="E55" s="62"/>
      <c r="F55" s="62"/>
      <c r="G55" s="62"/>
      <c r="H55" s="62"/>
      <c r="I55" s="62"/>
      <c r="J55" s="62"/>
    </row>
    <row r="56" spans="2:10" ht="15">
      <c r="B56" s="83">
        <v>545552442.5678139</v>
      </c>
      <c r="C56" s="78">
        <v>2013</v>
      </c>
      <c r="D56" s="62"/>
      <c r="E56" s="62"/>
      <c r="F56" s="62"/>
      <c r="G56" s="62"/>
      <c r="H56" s="62"/>
      <c r="I56" s="62"/>
      <c r="J56" s="62"/>
    </row>
    <row r="57" spans="2:10" ht="15">
      <c r="B57" s="83">
        <v>575116676.9783523</v>
      </c>
      <c r="C57" s="78">
        <v>2014</v>
      </c>
      <c r="D57" s="62"/>
      <c r="E57" s="62"/>
      <c r="F57" s="62"/>
      <c r="G57" s="62"/>
      <c r="H57" s="62"/>
      <c r="I57" s="62"/>
      <c r="J57" s="62"/>
    </row>
    <row r="58" spans="2:3" ht="15">
      <c r="B58" s="83">
        <v>611969953.1666651</v>
      </c>
      <c r="C58" s="78">
        <v>2015</v>
      </c>
    </row>
    <row r="59" spans="2:3" ht="15">
      <c r="B59" s="84">
        <v>658712893</v>
      </c>
      <c r="C59" s="189">
        <v>2016</v>
      </c>
    </row>
  </sheetData>
  <sheetProtection/>
  <mergeCells count="24">
    <mergeCell ref="B33:B34"/>
    <mergeCell ref="C33:C34"/>
    <mergeCell ref="B7:B8"/>
    <mergeCell ref="I7:I8"/>
    <mergeCell ref="G7:G8"/>
    <mergeCell ref="H7:H8"/>
    <mergeCell ref="I33:I34"/>
    <mergeCell ref="D33:D34"/>
    <mergeCell ref="E33:E34"/>
    <mergeCell ref="F33:F34"/>
    <mergeCell ref="B3:I3"/>
    <mergeCell ref="B4:I4"/>
    <mergeCell ref="B5:I5"/>
    <mergeCell ref="B29:I29"/>
    <mergeCell ref="B30:I30"/>
    <mergeCell ref="B31:I31"/>
    <mergeCell ref="J33:J34"/>
    <mergeCell ref="J7:J8"/>
    <mergeCell ref="G33:G34"/>
    <mergeCell ref="H33:H34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17"/>
  <sheetViews>
    <sheetView showGridLines="0" zoomScale="80" zoomScaleNormal="80" zoomScalePageLayoutView="0" workbookViewId="0" topLeftCell="A7">
      <selection activeCell="G10" sqref="G10"/>
    </sheetView>
  </sheetViews>
  <sheetFormatPr defaultColWidth="11.421875" defaultRowHeight="12.75"/>
  <cols>
    <col min="1" max="1" width="6.00390625" style="0" customWidth="1"/>
    <col min="2" max="2" width="6.140625" style="0" customWidth="1"/>
    <col min="3" max="3" width="59.57421875" style="0" customWidth="1"/>
    <col min="4" max="11" width="14.8515625" style="0" customWidth="1"/>
    <col min="12" max="12" width="16.57421875" style="0" bestFit="1" customWidth="1"/>
    <col min="13" max="13" width="12.7109375" style="0" bestFit="1" customWidth="1"/>
  </cols>
  <sheetData>
    <row r="3" spans="2:11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 t="s">
        <v>74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2" t="s">
        <v>228</v>
      </c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52">
        <v>2016</v>
      </c>
    </row>
    <row r="8" spans="2:11" ht="15">
      <c r="B8" s="85">
        <v>1.1</v>
      </c>
      <c r="C8" s="85" t="s">
        <v>76</v>
      </c>
      <c r="D8" s="86">
        <v>46081542.947560005</v>
      </c>
      <c r="E8" s="86">
        <v>57780811.87773</v>
      </c>
      <c r="F8" s="86">
        <v>67394652.81503001</v>
      </c>
      <c r="G8" s="86">
        <v>73961083.79276998</v>
      </c>
      <c r="H8" s="86">
        <v>79981282.69736996</v>
      </c>
      <c r="I8" s="86">
        <v>86087483.07255998</v>
      </c>
      <c r="J8" s="86">
        <v>81791546.66224998</v>
      </c>
      <c r="K8" s="64">
        <v>82790279.11312999</v>
      </c>
    </row>
    <row r="9" spans="2:11" ht="15">
      <c r="B9" s="4">
        <v>1.2</v>
      </c>
      <c r="C9" s="4" t="s">
        <v>77</v>
      </c>
      <c r="D9" s="64">
        <v>1353085.6062</v>
      </c>
      <c r="E9" s="64">
        <v>1604237.078</v>
      </c>
      <c r="F9" s="64">
        <v>1919863.26923</v>
      </c>
      <c r="G9" s="64">
        <v>2229001.7462999998</v>
      </c>
      <c r="H9" s="64">
        <v>2599877.11951</v>
      </c>
      <c r="I9" s="64">
        <v>2840598.37266</v>
      </c>
      <c r="J9" s="64">
        <v>3126695.90439</v>
      </c>
      <c r="K9" s="64">
        <v>3273786.94444</v>
      </c>
    </row>
    <row r="10" spans="2:11" ht="15">
      <c r="B10" s="4">
        <v>1.3</v>
      </c>
      <c r="C10" s="4" t="s">
        <v>78</v>
      </c>
      <c r="D10" s="64">
        <v>3021756.777159998</v>
      </c>
      <c r="E10" s="64">
        <v>3162361.6455300003</v>
      </c>
      <c r="F10" s="64">
        <v>3270845.580689994</v>
      </c>
      <c r="G10" s="64">
        <v>3606005.653500009</v>
      </c>
      <c r="H10" s="64">
        <v>3908428.6505400054</v>
      </c>
      <c r="I10" s="64">
        <v>4216517.917720001</v>
      </c>
      <c r="J10" s="64">
        <v>4381419.707350005</v>
      </c>
      <c r="K10" s="64">
        <v>4343473.164269996</v>
      </c>
    </row>
    <row r="11" spans="2:11" ht="15">
      <c r="B11" s="4">
        <v>1.4</v>
      </c>
      <c r="C11" s="4" t="s">
        <v>1</v>
      </c>
      <c r="D11" s="64">
        <v>2993096.4411200006</v>
      </c>
      <c r="E11" s="64">
        <v>2524195.80803</v>
      </c>
      <c r="F11" s="64">
        <v>3242741.89341</v>
      </c>
      <c r="G11" s="64">
        <v>1896796.1704400005</v>
      </c>
      <c r="H11" s="64">
        <v>3091249.758759999</v>
      </c>
      <c r="I11" s="64">
        <v>3144342.5047799987</v>
      </c>
      <c r="J11" s="64">
        <v>4041616.0146399974</v>
      </c>
      <c r="K11" s="64">
        <v>4903849.484569996</v>
      </c>
    </row>
    <row r="12" spans="2:11" ht="15">
      <c r="B12" s="4">
        <v>1.5</v>
      </c>
      <c r="C12" s="4" t="s">
        <v>79</v>
      </c>
      <c r="D12" s="64">
        <v>4079187.4358500005</v>
      </c>
      <c r="E12" s="64">
        <v>4974729.16398</v>
      </c>
      <c r="F12" s="64">
        <v>4655603.10284</v>
      </c>
      <c r="G12" s="64">
        <v>5325663.096499993</v>
      </c>
      <c r="H12" s="64">
        <v>5718810.096519999</v>
      </c>
      <c r="I12" s="64">
        <v>5895910.204419998</v>
      </c>
      <c r="J12" s="64">
        <v>5925096.718729995</v>
      </c>
      <c r="K12" s="64">
        <v>4488790.831949994</v>
      </c>
    </row>
    <row r="13" spans="2:11" ht="15">
      <c r="B13" s="4">
        <v>1.6</v>
      </c>
      <c r="C13" s="4" t="s">
        <v>80</v>
      </c>
      <c r="D13" s="64">
        <v>73950.96376</v>
      </c>
      <c r="E13" s="64">
        <v>379869.43817000004</v>
      </c>
      <c r="F13" s="64">
        <v>103937.30316</v>
      </c>
      <c r="G13" s="64">
        <v>29028.845019999997</v>
      </c>
      <c r="H13" s="64">
        <v>307731.6110800001</v>
      </c>
      <c r="I13" s="64">
        <v>32144.8866</v>
      </c>
      <c r="J13" s="64">
        <v>70444.02403999997</v>
      </c>
      <c r="K13" s="64">
        <v>1184847.54471</v>
      </c>
    </row>
    <row r="14" spans="2:11" ht="15">
      <c r="B14" s="4">
        <v>1.7</v>
      </c>
      <c r="C14" s="4" t="s">
        <v>81</v>
      </c>
      <c r="D14" s="64">
        <v>73559.01255000001</v>
      </c>
      <c r="E14" s="64">
        <v>48696.020950000006</v>
      </c>
      <c r="F14" s="64">
        <v>26709.63193</v>
      </c>
      <c r="G14" s="64">
        <v>17291.57395</v>
      </c>
      <c r="H14" s="64">
        <v>14786.879969999998</v>
      </c>
      <c r="I14" s="64">
        <v>19047.7597</v>
      </c>
      <c r="J14" s="64">
        <v>20383.358309999996</v>
      </c>
      <c r="K14" s="64">
        <v>21379.3737</v>
      </c>
    </row>
    <row r="15" spans="2:11" ht="15">
      <c r="B15" s="4">
        <v>1.8</v>
      </c>
      <c r="C15" s="4" t="s">
        <v>82</v>
      </c>
      <c r="D15" s="64">
        <v>7805410.32648</v>
      </c>
      <c r="E15" s="64">
        <v>7250651.878439998</v>
      </c>
      <c r="F15" s="64">
        <v>4008351.72315</v>
      </c>
      <c r="G15" s="64">
        <v>5914581.963909999</v>
      </c>
      <c r="H15" s="64">
        <v>2498327.9470600006</v>
      </c>
      <c r="I15" s="64">
        <v>8068102.15427</v>
      </c>
      <c r="J15" s="64">
        <v>18586124.921230003</v>
      </c>
      <c r="K15" s="64">
        <v>15028670.573299998</v>
      </c>
    </row>
    <row r="16" spans="2:11" ht="15">
      <c r="B16" s="66">
        <v>1.9</v>
      </c>
      <c r="C16" s="66" t="s">
        <v>83</v>
      </c>
      <c r="D16" s="67">
        <v>9382487.876959993</v>
      </c>
      <c r="E16" s="67">
        <v>10547712.07411</v>
      </c>
      <c r="F16" s="67">
        <v>9395795.39603</v>
      </c>
      <c r="G16" s="67">
        <v>11029903.66639</v>
      </c>
      <c r="H16" s="67">
        <v>13358768.933120007</v>
      </c>
      <c r="I16" s="67">
        <v>16964847.13802</v>
      </c>
      <c r="J16" s="67">
        <v>18819039.46408003</v>
      </c>
      <c r="K16" s="64">
        <v>29616792.93985</v>
      </c>
    </row>
    <row r="17" spans="2:11" ht="15">
      <c r="B17" s="53"/>
      <c r="C17" s="53" t="s">
        <v>84</v>
      </c>
      <c r="D17" s="40">
        <f aca="true" t="shared" si="0" ref="D17:K17">SUM(D8:D16)</f>
        <v>74864077.38764</v>
      </c>
      <c r="E17" s="40">
        <f t="shared" si="0"/>
        <v>88273264.98493999</v>
      </c>
      <c r="F17" s="40">
        <f t="shared" si="0"/>
        <v>94018500.71546999</v>
      </c>
      <c r="G17" s="40">
        <f t="shared" si="0"/>
        <v>104009356.50877997</v>
      </c>
      <c r="H17" s="40">
        <f t="shared" si="0"/>
        <v>111479263.69392999</v>
      </c>
      <c r="I17" s="40">
        <f t="shared" si="0"/>
        <v>127268994.01072997</v>
      </c>
      <c r="J17" s="40">
        <f t="shared" si="0"/>
        <v>136762366.77502</v>
      </c>
      <c r="K17" s="40">
        <f t="shared" si="0"/>
        <v>145651869.96991998</v>
      </c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7:K17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K16"/>
  <sheetViews>
    <sheetView showGridLines="0" zoomScale="80" zoomScaleNormal="80" zoomScalePageLayoutView="0" workbookViewId="0" topLeftCell="A4">
      <selection activeCell="K15" sqref="K15"/>
    </sheetView>
  </sheetViews>
  <sheetFormatPr defaultColWidth="11.421875" defaultRowHeight="12.75"/>
  <cols>
    <col min="1" max="1" width="6.00390625" style="0" customWidth="1"/>
    <col min="2" max="2" width="6.140625" style="0" customWidth="1"/>
    <col min="3" max="3" width="56.57421875" style="0" bestFit="1" customWidth="1"/>
    <col min="4" max="4" width="14.7109375" style="0" customWidth="1"/>
    <col min="5" max="5" width="17.421875" style="0" customWidth="1"/>
    <col min="6" max="6" width="16.8515625" style="0" customWidth="1"/>
    <col min="7" max="7" width="18.00390625" style="0" customWidth="1"/>
    <col min="8" max="9" width="18.421875" style="0" customWidth="1"/>
    <col min="10" max="11" width="17.140625" style="0" customWidth="1"/>
    <col min="12" max="12" width="12.7109375" style="0" bestFit="1" customWidth="1"/>
    <col min="14" max="14" width="12.7109375" style="0" bestFit="1" customWidth="1"/>
  </cols>
  <sheetData>
    <row r="3" spans="2:11" ht="15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>
      <c r="B4" s="219" t="s">
        <v>99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2" t="s">
        <v>91</v>
      </c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52">
        <v>2016</v>
      </c>
    </row>
    <row r="8" spans="2:11" ht="15">
      <c r="B8" s="85">
        <v>2.1</v>
      </c>
      <c r="C8" s="4" t="s">
        <v>92</v>
      </c>
      <c r="D8" s="64">
        <v>11011008.618439985</v>
      </c>
      <c r="E8" s="64">
        <v>11627587.841849986</v>
      </c>
      <c r="F8" s="64">
        <v>12809089.444409976</v>
      </c>
      <c r="G8" s="64">
        <v>14305983.764239997</v>
      </c>
      <c r="H8" s="64">
        <v>16103293.266799983</v>
      </c>
      <c r="I8" s="64">
        <v>18975971.84517002</v>
      </c>
      <c r="J8" s="64">
        <v>19642065.767680023</v>
      </c>
      <c r="K8" s="64">
        <v>21636979.10215006</v>
      </c>
    </row>
    <row r="9" spans="2:11" ht="15">
      <c r="B9" s="4">
        <v>2.2</v>
      </c>
      <c r="C9" s="4" t="s">
        <v>93</v>
      </c>
      <c r="D9" s="64">
        <v>8281120.65531</v>
      </c>
      <c r="E9" s="64">
        <v>8606828.462180002</v>
      </c>
      <c r="F9" s="64">
        <v>9196577.879129997</v>
      </c>
      <c r="G9" s="64">
        <v>9058974.010520002</v>
      </c>
      <c r="H9" s="64">
        <v>9154180.971130015</v>
      </c>
      <c r="I9" s="64">
        <v>10042603.117500007</v>
      </c>
      <c r="J9" s="64">
        <v>9347826.471480025</v>
      </c>
      <c r="K9" s="64">
        <v>9453171.015070016</v>
      </c>
    </row>
    <row r="10" spans="2:11" ht="15">
      <c r="B10" s="4">
        <v>2.3</v>
      </c>
      <c r="C10" s="4" t="s">
        <v>94</v>
      </c>
      <c r="D10" s="64">
        <v>9078736.597640024</v>
      </c>
      <c r="E10" s="64">
        <v>10474847.142129965</v>
      </c>
      <c r="F10" s="64">
        <v>11571847.279380029</v>
      </c>
      <c r="G10" s="64">
        <v>12520653.846829908</v>
      </c>
      <c r="H10" s="64">
        <v>14801769.122859953</v>
      </c>
      <c r="I10" s="64">
        <v>17100206.711199965</v>
      </c>
      <c r="J10" s="64">
        <v>19887314.00527992</v>
      </c>
      <c r="K10" s="64">
        <v>20721514.715799954</v>
      </c>
    </row>
    <row r="11" spans="2:11" ht="15">
      <c r="B11" s="4">
        <v>2.4</v>
      </c>
      <c r="C11" s="4" t="s">
        <v>1</v>
      </c>
      <c r="D11" s="64">
        <v>2523605.57381</v>
      </c>
      <c r="E11" s="64">
        <v>1867801.0505999997</v>
      </c>
      <c r="F11" s="64">
        <v>2921835.001780001</v>
      </c>
      <c r="G11" s="64">
        <v>2169270.0870799995</v>
      </c>
      <c r="H11" s="64">
        <v>3236386.9875599993</v>
      </c>
      <c r="I11" s="64">
        <v>4560461.463659999</v>
      </c>
      <c r="J11" s="64">
        <v>6186867.611649998</v>
      </c>
      <c r="K11" s="64">
        <v>5464576.726119999</v>
      </c>
    </row>
    <row r="12" spans="2:11" ht="15">
      <c r="B12" s="4">
        <v>2.5</v>
      </c>
      <c r="C12" s="4" t="s">
        <v>95</v>
      </c>
      <c r="D12" s="64">
        <v>3674753.2309100046</v>
      </c>
      <c r="E12" s="64">
        <v>3609351.5680099986</v>
      </c>
      <c r="F12" s="64">
        <v>4916085.271570003</v>
      </c>
      <c r="G12" s="64">
        <v>3676560.39868</v>
      </c>
      <c r="H12" s="64">
        <v>5448748.845840004</v>
      </c>
      <c r="I12" s="64">
        <v>6476926.083229996</v>
      </c>
      <c r="J12" s="64">
        <v>8333910.143670007</v>
      </c>
      <c r="K12" s="64">
        <v>7313491.398919999</v>
      </c>
    </row>
    <row r="13" spans="2:11" ht="15">
      <c r="B13" s="4">
        <v>2.6</v>
      </c>
      <c r="C13" s="4" t="s">
        <v>96</v>
      </c>
      <c r="D13" s="64">
        <v>6761742.854660008</v>
      </c>
      <c r="E13" s="64">
        <v>9657465.409070002</v>
      </c>
      <c r="F13" s="64">
        <v>10106623.590889994</v>
      </c>
      <c r="G13" s="64">
        <v>9632047.81777</v>
      </c>
      <c r="H13" s="64">
        <v>11133085.120330002</v>
      </c>
      <c r="I13" s="64">
        <v>13378368.032709977</v>
      </c>
      <c r="J13" s="64">
        <v>15728355.463220006</v>
      </c>
      <c r="K13" s="64">
        <v>12034943.482740024</v>
      </c>
    </row>
    <row r="14" spans="2:11" ht="15">
      <c r="B14" s="4">
        <v>2.7</v>
      </c>
      <c r="C14" s="4" t="s">
        <v>97</v>
      </c>
      <c r="D14" s="64">
        <v>32391.79052</v>
      </c>
      <c r="E14" s="64">
        <v>377644.31987999997</v>
      </c>
      <c r="F14" s="64">
        <v>138872.56889000002</v>
      </c>
      <c r="G14" s="64">
        <v>220600.06737000003</v>
      </c>
      <c r="H14" s="64">
        <v>422871.60069</v>
      </c>
      <c r="I14" s="64">
        <v>443858.94036000007</v>
      </c>
      <c r="J14" s="64">
        <v>479558.19806</v>
      </c>
      <c r="K14" s="64">
        <v>525573.56936</v>
      </c>
    </row>
    <row r="15" spans="2:11" ht="15">
      <c r="B15" s="66">
        <v>2.8</v>
      </c>
      <c r="C15" s="66" t="s">
        <v>98</v>
      </c>
      <c r="D15" s="67">
        <v>8050802.864399996</v>
      </c>
      <c r="E15" s="67">
        <v>8471073.039229998</v>
      </c>
      <c r="F15" s="67">
        <v>8251852.24559</v>
      </c>
      <c r="G15" s="67">
        <v>8891748.10803</v>
      </c>
      <c r="H15" s="67">
        <v>8370609.06119</v>
      </c>
      <c r="I15" s="67">
        <v>9435070.61318</v>
      </c>
      <c r="J15" s="67">
        <v>10393081.833319997</v>
      </c>
      <c r="K15" s="64">
        <v>10924843.008280002</v>
      </c>
    </row>
    <row r="16" spans="2:11" ht="15">
      <c r="B16" s="54"/>
      <c r="C16" s="54" t="s">
        <v>84</v>
      </c>
      <c r="D16" s="40">
        <f aca="true" t="shared" si="0" ref="D16:K16">SUM(D8:D15)</f>
        <v>49414162.185690016</v>
      </c>
      <c r="E16" s="40">
        <f t="shared" si="0"/>
        <v>54692598.83294995</v>
      </c>
      <c r="F16" s="40">
        <f t="shared" si="0"/>
        <v>59912783.28164</v>
      </c>
      <c r="G16" s="40">
        <f t="shared" si="0"/>
        <v>60475838.1005199</v>
      </c>
      <c r="H16" s="40">
        <f t="shared" si="0"/>
        <v>68670944.97639996</v>
      </c>
      <c r="I16" s="40">
        <f t="shared" si="0"/>
        <v>80413466.80700997</v>
      </c>
      <c r="J16" s="40">
        <f t="shared" si="0"/>
        <v>89998979.49435997</v>
      </c>
      <c r="K16" s="40">
        <f t="shared" si="0"/>
        <v>88075093.01844007</v>
      </c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6:K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3:K22"/>
  <sheetViews>
    <sheetView showGridLines="0" zoomScale="80" zoomScaleNormal="80" zoomScalePageLayoutView="0" workbookViewId="0" topLeftCell="A1">
      <selection activeCell="M18" sqref="M18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6.57421875" style="0" bestFit="1" customWidth="1"/>
    <col min="4" max="6" width="16.57421875" style="0" bestFit="1" customWidth="1"/>
    <col min="7" max="8" width="17.57421875" style="0" bestFit="1" customWidth="1"/>
    <col min="9" max="11" width="17.57421875" style="0" customWidth="1"/>
    <col min="13" max="13" width="16.57421875" style="0" bestFit="1" customWidth="1"/>
    <col min="14" max="14" width="12.7109375" style="0" bestFit="1" customWidth="1"/>
  </cols>
  <sheetData>
    <row r="3" spans="2:11" ht="15" customHeight="1">
      <c r="B3" s="219" t="s">
        <v>13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2:11" ht="15" customHeight="1">
      <c r="B4" s="219" t="s">
        <v>85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15" customHeight="1">
      <c r="B5" s="219" t="s">
        <v>238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1" ht="15">
      <c r="B7" s="52" t="s">
        <v>75</v>
      </c>
      <c r="C7" s="54" t="s">
        <v>229</v>
      </c>
      <c r="D7" s="54">
        <v>2009</v>
      </c>
      <c r="E7" s="54">
        <v>2010</v>
      </c>
      <c r="F7" s="54">
        <v>2011</v>
      </c>
      <c r="G7" s="54">
        <v>2012</v>
      </c>
      <c r="H7" s="54">
        <v>2013</v>
      </c>
      <c r="I7" s="54">
        <v>2014</v>
      </c>
      <c r="J7" s="54">
        <v>2015</v>
      </c>
      <c r="K7" s="52">
        <v>2016</v>
      </c>
    </row>
    <row r="8" spans="2:11" ht="15">
      <c r="B8" s="85">
        <v>1.1</v>
      </c>
      <c r="C8" s="4" t="s">
        <v>76</v>
      </c>
      <c r="D8" s="64">
        <v>9120.2279</v>
      </c>
      <c r="E8" s="64">
        <v>10830.968899999998</v>
      </c>
      <c r="F8" s="64">
        <v>11657.264519999999</v>
      </c>
      <c r="G8" s="64">
        <v>11058.18457</v>
      </c>
      <c r="H8" s="64">
        <v>10692.39642</v>
      </c>
      <c r="I8" s="64">
        <v>9756.63221</v>
      </c>
      <c r="J8" s="64">
        <v>10201.55185</v>
      </c>
      <c r="K8" s="64">
        <v>10288.890029999999</v>
      </c>
    </row>
    <row r="9" spans="2:11" ht="15">
      <c r="B9" s="4">
        <v>1.2</v>
      </c>
      <c r="C9" s="4" t="s">
        <v>77</v>
      </c>
      <c r="D9" s="64">
        <v>18.79729</v>
      </c>
      <c r="E9" s="64">
        <v>10.74187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</row>
    <row r="10" spans="2:11" ht="15">
      <c r="B10" s="4">
        <v>1.3</v>
      </c>
      <c r="C10" s="4" t="s">
        <v>78</v>
      </c>
      <c r="D10" s="64">
        <v>384547.5231399998</v>
      </c>
      <c r="E10" s="64">
        <v>420694.34300999984</v>
      </c>
      <c r="F10" s="64">
        <v>472475.16260000016</v>
      </c>
      <c r="G10" s="64">
        <v>463782.75406000006</v>
      </c>
      <c r="H10" s="64">
        <v>450672.2970700005</v>
      </c>
      <c r="I10" s="64">
        <v>460353.06132000004</v>
      </c>
      <c r="J10" s="64">
        <v>462161.8412200004</v>
      </c>
      <c r="K10" s="64">
        <v>476908.350420001</v>
      </c>
    </row>
    <row r="11" spans="2:11" ht="15">
      <c r="B11" s="4">
        <v>1.4</v>
      </c>
      <c r="C11" s="4" t="s">
        <v>1</v>
      </c>
      <c r="D11" s="64">
        <v>2338146.43391</v>
      </c>
      <c r="E11" s="64">
        <v>2633635.8384799995</v>
      </c>
      <c r="F11" s="64">
        <v>3517432.4363499973</v>
      </c>
      <c r="G11" s="64">
        <v>3432675.632390001</v>
      </c>
      <c r="H11" s="64">
        <v>3359636.6048400006</v>
      </c>
      <c r="I11" s="64">
        <v>3234375.4456199994</v>
      </c>
      <c r="J11" s="64">
        <v>3154870.15475</v>
      </c>
      <c r="K11" s="64">
        <v>2367811.0343700005</v>
      </c>
    </row>
    <row r="12" spans="2:11" ht="15">
      <c r="B12" s="4">
        <v>1.5</v>
      </c>
      <c r="C12" s="4" t="s">
        <v>79</v>
      </c>
      <c r="D12" s="64">
        <v>720975.7967200004</v>
      </c>
      <c r="E12" s="64">
        <v>270491.56601</v>
      </c>
      <c r="F12" s="64">
        <v>544437.1831399999</v>
      </c>
      <c r="G12" s="64">
        <v>461714.15264999977</v>
      </c>
      <c r="H12" s="64">
        <v>270805.81036</v>
      </c>
      <c r="I12" s="64">
        <v>165056.34273999996</v>
      </c>
      <c r="J12" s="64">
        <v>125311.23597</v>
      </c>
      <c r="K12" s="64">
        <v>160913.28720000005</v>
      </c>
    </row>
    <row r="13" spans="2:11" ht="15">
      <c r="B13" s="4">
        <v>1.6</v>
      </c>
      <c r="C13" s="4" t="s">
        <v>80</v>
      </c>
      <c r="D13" s="64">
        <v>13595.018930000002</v>
      </c>
      <c r="E13" s="64">
        <v>22992.97125</v>
      </c>
      <c r="F13" s="64">
        <v>28244.439230000004</v>
      </c>
      <c r="G13" s="64">
        <v>33392.50048</v>
      </c>
      <c r="H13" s="64">
        <v>106504.13615999998</v>
      </c>
      <c r="I13" s="64">
        <v>57748.63298</v>
      </c>
      <c r="J13" s="64">
        <v>27734.298020000002</v>
      </c>
      <c r="K13" s="64">
        <v>58349.707689999996</v>
      </c>
    </row>
    <row r="14" spans="2:11" ht="15">
      <c r="B14" s="4">
        <v>1.7</v>
      </c>
      <c r="C14" s="4" t="s">
        <v>81</v>
      </c>
      <c r="D14" s="64">
        <v>4092.58393</v>
      </c>
      <c r="E14" s="64">
        <v>2279.24123</v>
      </c>
      <c r="F14" s="64">
        <v>2688.25704</v>
      </c>
      <c r="G14" s="64">
        <v>2054.51584</v>
      </c>
      <c r="H14" s="64">
        <v>1308.1236999999999</v>
      </c>
      <c r="I14" s="64">
        <v>1170.45679</v>
      </c>
      <c r="J14" s="64">
        <v>3849.2925999999998</v>
      </c>
      <c r="K14" s="64">
        <v>601.0788</v>
      </c>
    </row>
    <row r="15" spans="2:11" ht="15">
      <c r="B15" s="4">
        <v>1.8</v>
      </c>
      <c r="C15" s="4" t="s">
        <v>82</v>
      </c>
      <c r="D15" s="64">
        <v>453394.33176000003</v>
      </c>
      <c r="E15" s="64">
        <v>1337381.90911</v>
      </c>
      <c r="F15" s="64">
        <v>779268.9544100001</v>
      </c>
      <c r="G15" s="64">
        <v>463332.9365999999</v>
      </c>
      <c r="H15" s="64">
        <v>496132.6425699999</v>
      </c>
      <c r="I15" s="64">
        <v>875799.4575899999</v>
      </c>
      <c r="J15" s="64">
        <v>949226.18171</v>
      </c>
      <c r="K15" s="64">
        <v>2103533.93243</v>
      </c>
    </row>
    <row r="16" spans="2:11" ht="15">
      <c r="B16" s="66">
        <v>1.9</v>
      </c>
      <c r="C16" s="4" t="s">
        <v>83</v>
      </c>
      <c r="D16" s="64">
        <v>3619894.3309300006</v>
      </c>
      <c r="E16" s="64">
        <v>3338460.8538499996</v>
      </c>
      <c r="F16" s="64">
        <v>2589239.3231899994</v>
      </c>
      <c r="G16" s="64">
        <v>3122437.776220001</v>
      </c>
      <c r="H16" s="64">
        <v>2259103.1715800003</v>
      </c>
      <c r="I16" s="64">
        <v>1758631.9015</v>
      </c>
      <c r="J16" s="64">
        <v>1708563.0401699995</v>
      </c>
      <c r="K16" s="64">
        <v>2008756.4969000001</v>
      </c>
    </row>
    <row r="17" spans="2:11" ht="15">
      <c r="B17" s="54"/>
      <c r="C17" s="54" t="s">
        <v>86</v>
      </c>
      <c r="D17" s="40">
        <f>SUM(D8:D16)</f>
        <v>7543785.044510001</v>
      </c>
      <c r="E17" s="40">
        <f aca="true" t="shared" si="0" ref="E17:K17">SUM(E8:E16)</f>
        <v>8036778.433709999</v>
      </c>
      <c r="F17" s="40">
        <f t="shared" si="0"/>
        <v>7945443.020479996</v>
      </c>
      <c r="G17" s="40">
        <f t="shared" si="0"/>
        <v>7990448.452810001</v>
      </c>
      <c r="H17" s="40">
        <f t="shared" si="0"/>
        <v>6954855.182700003</v>
      </c>
      <c r="I17" s="40">
        <f t="shared" si="0"/>
        <v>6562891.930749999</v>
      </c>
      <c r="J17" s="40">
        <f t="shared" si="0"/>
        <v>6441917.59629</v>
      </c>
      <c r="K17" s="40">
        <f t="shared" si="0"/>
        <v>7187162.7778400015</v>
      </c>
    </row>
    <row r="18" spans="2:11" ht="15">
      <c r="B18" s="66"/>
      <c r="C18" s="87" t="s">
        <v>230</v>
      </c>
      <c r="D18" s="64">
        <v>10691239.90353001</v>
      </c>
      <c r="E18" s="64">
        <v>11302815.99461</v>
      </c>
      <c r="F18" s="64">
        <v>12593533.938410003</v>
      </c>
      <c r="G18" s="64">
        <v>15114775.1365</v>
      </c>
      <c r="H18" s="64">
        <v>17310977.160189994</v>
      </c>
      <c r="I18" s="64">
        <v>19493812.27075</v>
      </c>
      <c r="J18" s="64">
        <v>20390472.495609988</v>
      </c>
      <c r="K18" s="190">
        <v>21304807.534439966</v>
      </c>
    </row>
    <row r="19" spans="2:11" ht="15">
      <c r="B19" s="54"/>
      <c r="C19" s="54" t="s">
        <v>84</v>
      </c>
      <c r="D19" s="40">
        <f aca="true" t="shared" si="1" ref="D19:K19">SUM(D17:D18)</f>
        <v>18235024.94804001</v>
      </c>
      <c r="E19" s="40">
        <f t="shared" si="1"/>
        <v>19339594.428319998</v>
      </c>
      <c r="F19" s="40">
        <f t="shared" si="1"/>
        <v>20538976.95889</v>
      </c>
      <c r="G19" s="40">
        <f t="shared" si="1"/>
        <v>23105223.589309998</v>
      </c>
      <c r="H19" s="40">
        <f t="shared" si="1"/>
        <v>24265832.342889994</v>
      </c>
      <c r="I19" s="40">
        <v>26056706.2155</v>
      </c>
      <c r="J19" s="40">
        <f t="shared" si="1"/>
        <v>26832390.091899987</v>
      </c>
      <c r="K19" s="40">
        <f t="shared" si="1"/>
        <v>28491970.31227997</v>
      </c>
    </row>
    <row r="20" spans="2:11" ht="15"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2:11" ht="15">
      <c r="B21" s="62"/>
      <c r="C21" s="88" t="s">
        <v>87</v>
      </c>
      <c r="D21" s="62"/>
      <c r="E21" s="62"/>
      <c r="F21" s="62"/>
      <c r="G21" s="62"/>
      <c r="H21" s="62"/>
      <c r="I21" s="62"/>
      <c r="J21" s="62"/>
      <c r="K21" s="62"/>
    </row>
    <row r="22" spans="2:11" ht="15">
      <c r="B22" s="62"/>
      <c r="C22" s="89" t="s">
        <v>235</v>
      </c>
      <c r="D22" s="62"/>
      <c r="E22" s="62"/>
      <c r="F22" s="62"/>
      <c r="G22" s="62"/>
      <c r="H22" s="62"/>
      <c r="I22" s="62"/>
      <c r="J22" s="62"/>
      <c r="K22" s="62"/>
    </row>
  </sheetData>
  <sheetProtection/>
  <mergeCells count="3">
    <mergeCell ref="B3:K3"/>
    <mergeCell ref="B4:K4"/>
    <mergeCell ref="B5:K5"/>
  </mergeCells>
  <printOptions/>
  <pageMargins left="0.7" right="0.7" top="0.75" bottom="0.75" header="0.3" footer="0.3"/>
  <pageSetup orientation="portrait" paperSize="9"/>
  <ignoredErrors>
    <ignoredError sqref="D17:K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Chavarri Chimoy, Isabel</dc:creator>
  <cp:keywords/>
  <dc:description/>
  <cp:lastModifiedBy>Bartra Merino, Christian Orlando</cp:lastModifiedBy>
  <cp:lastPrinted>2014-09-17T21:09:36Z</cp:lastPrinted>
  <dcterms:created xsi:type="dcterms:W3CDTF">2008-02-28T22:12:55Z</dcterms:created>
  <dcterms:modified xsi:type="dcterms:W3CDTF">2017-12-05T15:00:55Z</dcterms:modified>
  <cp:category/>
  <cp:version/>
  <cp:contentType/>
  <cp:contentStatus/>
</cp:coreProperties>
</file>