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435" tabRatio="745" activeTab="0"/>
  </bookViews>
  <sheets>
    <sheet name="Entrada" sheetId="1" r:id="rId1"/>
    <sheet name="RESULTADOS" sheetId="2" r:id="rId2"/>
    <sheet name="Formatos" sheetId="3" r:id="rId3"/>
    <sheet name="F1" sheetId="4" r:id="rId4"/>
    <sheet name="F2" sheetId="5" r:id="rId5"/>
    <sheet name="F3-SC" sheetId="6" r:id="rId6"/>
    <sheet name="F3-SF" sheetId="7" r:id="rId7"/>
    <sheet name="F4-SC" sheetId="8" r:id="rId8"/>
    <sheet name="F4-SF" sheetId="9" r:id="rId9"/>
    <sheet name="F5-SC" sheetId="10" r:id="rId10"/>
    <sheet name="F5-SF" sheetId="11" r:id="rId11"/>
    <sheet name="F5A-SC" sheetId="12" r:id="rId12"/>
    <sheet name="F5A-SF" sheetId="13" r:id="rId13"/>
    <sheet name="F6-SC" sheetId="14" r:id="rId14"/>
    <sheet name="F6-SF" sheetId="15" r:id="rId15"/>
    <sheet name="F6A-SC" sheetId="16" r:id="rId16"/>
    <sheet name="F6A-SF" sheetId="17" r:id="rId17"/>
    <sheet name="F7" sheetId="18" r:id="rId18"/>
    <sheet name="F7A" sheetId="19" r:id="rId19"/>
    <sheet name="F8" sheetId="20" r:id="rId20"/>
    <sheet name="F9" sheetId="21" r:id="rId21"/>
  </sheets>
  <externalReferences>
    <externalReference r:id="rId24"/>
    <externalReference r:id="rId25"/>
    <externalReference r:id="rId26"/>
    <externalReference r:id="rId27"/>
    <externalReference r:id="rId28"/>
    <externalReference r:id="rId29"/>
    <externalReference r:id="rId30"/>
    <externalReference r:id="rId31"/>
  </externalReferences>
  <definedNames>
    <definedName name="__123Graph_A" localSheetId="6" hidden="1">'[1]EVAL'!#REF!</definedName>
    <definedName name="__123Graph_A" localSheetId="8" hidden="1">'[1]EVAL'!#REF!</definedName>
    <definedName name="__123Graph_A" localSheetId="12" hidden="1">'[1]EVAL'!#REF!</definedName>
    <definedName name="__123Graph_A" localSheetId="10" hidden="1">'[1]EVAL'!#REF!</definedName>
    <definedName name="__123Graph_A" localSheetId="16" hidden="1">'[1]EVAL'!#REF!</definedName>
    <definedName name="__123Graph_A" localSheetId="14" hidden="1">'[1]EVAL'!#REF!</definedName>
    <definedName name="__123Graph_A" localSheetId="18" hidden="1">'[1]EVAL'!#REF!</definedName>
    <definedName name="__123Graph_A" hidden="1">'[1]EVAL'!#REF!</definedName>
    <definedName name="__123Graph_ACORNU" localSheetId="6" hidden="1">'[1]EVAL'!#REF!</definedName>
    <definedName name="__123Graph_ACORNU" localSheetId="8" hidden="1">'[1]EVAL'!#REF!</definedName>
    <definedName name="__123Graph_ACORNU" localSheetId="12" hidden="1">'[1]EVAL'!#REF!</definedName>
    <definedName name="__123Graph_ACORNU" localSheetId="10" hidden="1">'[1]EVAL'!#REF!</definedName>
    <definedName name="__123Graph_ACORNU" localSheetId="16" hidden="1">'[1]EVAL'!#REF!</definedName>
    <definedName name="__123Graph_ACORNU" localSheetId="14" hidden="1">'[1]EVAL'!#REF!</definedName>
    <definedName name="__123Graph_ACORNU" localSheetId="18" hidden="1">'[1]EVAL'!#REF!</definedName>
    <definedName name="__123Graph_ACORNU" hidden="1">'[1]EVAL'!#REF!</definedName>
    <definedName name="__123Graph_ASISTEMAS" localSheetId="6" hidden="1">'[2]Tipo de Cambio'!#REF!</definedName>
    <definedName name="__123Graph_ASISTEMAS" localSheetId="8" hidden="1">'[2]Tipo de Cambio'!#REF!</definedName>
    <definedName name="__123Graph_ASISTEMAS" localSheetId="12" hidden="1">'[2]Tipo de Cambio'!#REF!</definedName>
    <definedName name="__123Graph_ASISTEMAS" localSheetId="10" hidden="1">'[2]Tipo de Cambio'!#REF!</definedName>
    <definedName name="__123Graph_ASISTEMAS" localSheetId="16" hidden="1">'[2]Tipo de Cambio'!#REF!</definedName>
    <definedName name="__123Graph_ASISTEMAS" localSheetId="14" hidden="1">'[2]Tipo de Cambio'!#REF!</definedName>
    <definedName name="__123Graph_ASISTEMAS" localSheetId="18" hidden="1">'[2]Tipo de Cambio'!#REF!</definedName>
    <definedName name="__123Graph_ASISTEMAS" hidden="1">'[2]Tipo de Cambio'!#REF!</definedName>
    <definedName name="__123Graph_B" localSheetId="6" hidden="1">'[3]FlujoTJ'!#REF!</definedName>
    <definedName name="__123Graph_B" localSheetId="8" hidden="1">'[3]FlujoTJ'!#REF!</definedName>
    <definedName name="__123Graph_B" localSheetId="12" hidden="1">'[3]FlujoTJ'!#REF!</definedName>
    <definedName name="__123Graph_B" localSheetId="10" hidden="1">'[3]FlujoTJ'!#REF!</definedName>
    <definedName name="__123Graph_B" localSheetId="16" hidden="1">'[3]FlujoTJ'!#REF!</definedName>
    <definedName name="__123Graph_B" localSheetId="14" hidden="1">'[3]FlujoTJ'!#REF!</definedName>
    <definedName name="__123Graph_B" localSheetId="18" hidden="1">'[3]FlujoTJ'!#REF!</definedName>
    <definedName name="__123Graph_B" hidden="1">'[3]FlujoTJ'!#REF!</definedName>
    <definedName name="__123Graph_BCHART1" localSheetId="6" hidden="1">'[3]FlujoTJ'!#REF!</definedName>
    <definedName name="__123Graph_BCHART1" localSheetId="8" hidden="1">'[3]FlujoTJ'!#REF!</definedName>
    <definedName name="__123Graph_BCHART1" localSheetId="12" hidden="1">'[3]FlujoTJ'!#REF!</definedName>
    <definedName name="__123Graph_BCHART1" localSheetId="10" hidden="1">'[3]FlujoTJ'!#REF!</definedName>
    <definedName name="__123Graph_BCHART1" localSheetId="16" hidden="1">'[3]FlujoTJ'!#REF!</definedName>
    <definedName name="__123Graph_BCHART1" localSheetId="14" hidden="1">'[3]FlujoTJ'!#REF!</definedName>
    <definedName name="__123Graph_BCHART1" localSheetId="18" hidden="1">'[3]FlujoTJ'!#REF!</definedName>
    <definedName name="__123Graph_BCHART1" hidden="1">'[3]FlujoTJ'!#REF!</definedName>
    <definedName name="__123Graph_BCHART2" localSheetId="6" hidden="1">'[3]FlujoTJ'!#REF!</definedName>
    <definedName name="__123Graph_BCHART2" localSheetId="8" hidden="1">'[3]FlujoTJ'!#REF!</definedName>
    <definedName name="__123Graph_BCHART2" localSheetId="12" hidden="1">'[3]FlujoTJ'!#REF!</definedName>
    <definedName name="__123Graph_BCHART2" localSheetId="10" hidden="1">'[3]FlujoTJ'!#REF!</definedName>
    <definedName name="__123Graph_BCHART2" localSheetId="16" hidden="1">'[3]FlujoTJ'!#REF!</definedName>
    <definedName name="__123Graph_BCHART2" localSheetId="14" hidden="1">'[3]FlujoTJ'!#REF!</definedName>
    <definedName name="__123Graph_BCHART2" localSheetId="18" hidden="1">'[3]FlujoTJ'!#REF!</definedName>
    <definedName name="__123Graph_BCHART2" hidden="1">'[3]FlujoTJ'!#REF!</definedName>
    <definedName name="__123Graph_BCURRENT" localSheetId="6" hidden="1">'[3]FlujoTJ'!#REF!</definedName>
    <definedName name="__123Graph_BCURRENT" localSheetId="8" hidden="1">'[3]FlujoTJ'!#REF!</definedName>
    <definedName name="__123Graph_BCURRENT" localSheetId="12" hidden="1">'[3]FlujoTJ'!#REF!</definedName>
    <definedName name="__123Graph_BCURRENT" localSheetId="10" hidden="1">'[3]FlujoTJ'!#REF!</definedName>
    <definedName name="__123Graph_BCURRENT" localSheetId="16" hidden="1">'[3]FlujoTJ'!#REF!</definedName>
    <definedName name="__123Graph_BCURRENT" localSheetId="14" hidden="1">'[3]FlujoTJ'!#REF!</definedName>
    <definedName name="__123Graph_BCURRENT" localSheetId="18" hidden="1">'[3]FlujoTJ'!#REF!</definedName>
    <definedName name="__123Graph_BCURRENT" hidden="1">'[3]FlujoTJ'!#REF!</definedName>
    <definedName name="__123Graph_D" localSheetId="6" hidden="1">'[3]FlujoTJ'!#REF!</definedName>
    <definedName name="__123Graph_D" localSheetId="8" hidden="1">'[3]FlujoTJ'!#REF!</definedName>
    <definedName name="__123Graph_D" localSheetId="12" hidden="1">'[3]FlujoTJ'!#REF!</definedName>
    <definedName name="__123Graph_D" localSheetId="10" hidden="1">'[3]FlujoTJ'!#REF!</definedName>
    <definedName name="__123Graph_D" localSheetId="16" hidden="1">'[3]FlujoTJ'!#REF!</definedName>
    <definedName name="__123Graph_D" localSheetId="14" hidden="1">'[3]FlujoTJ'!#REF!</definedName>
    <definedName name="__123Graph_D" localSheetId="18" hidden="1">'[3]FlujoTJ'!#REF!</definedName>
    <definedName name="__123Graph_D" hidden="1">'[3]FlujoTJ'!#REF!</definedName>
    <definedName name="__123Graph_DCHART1" localSheetId="6" hidden="1">'[3]FlujoTJ'!#REF!</definedName>
    <definedName name="__123Graph_DCHART1" localSheetId="8" hidden="1">'[3]FlujoTJ'!#REF!</definedName>
    <definedName name="__123Graph_DCHART1" localSheetId="12" hidden="1">'[3]FlujoTJ'!#REF!</definedName>
    <definedName name="__123Graph_DCHART1" localSheetId="10" hidden="1">'[3]FlujoTJ'!#REF!</definedName>
    <definedName name="__123Graph_DCHART1" localSheetId="16" hidden="1">'[3]FlujoTJ'!#REF!</definedName>
    <definedName name="__123Graph_DCHART1" localSheetId="14" hidden="1">'[3]FlujoTJ'!#REF!</definedName>
    <definedName name="__123Graph_DCHART1" localSheetId="18" hidden="1">'[3]FlujoTJ'!#REF!</definedName>
    <definedName name="__123Graph_DCHART1" hidden="1">'[3]FlujoTJ'!#REF!</definedName>
    <definedName name="__123Graph_DCHART2" localSheetId="6" hidden="1">'[3]FlujoTJ'!#REF!</definedName>
    <definedName name="__123Graph_DCHART2" localSheetId="8" hidden="1">'[3]FlujoTJ'!#REF!</definedName>
    <definedName name="__123Graph_DCHART2" localSheetId="12" hidden="1">'[3]FlujoTJ'!#REF!</definedName>
    <definedName name="__123Graph_DCHART2" localSheetId="10" hidden="1">'[3]FlujoTJ'!#REF!</definedName>
    <definedName name="__123Graph_DCHART2" localSheetId="16" hidden="1">'[3]FlujoTJ'!#REF!</definedName>
    <definedName name="__123Graph_DCHART2" localSheetId="14" hidden="1">'[3]FlujoTJ'!#REF!</definedName>
    <definedName name="__123Graph_DCHART2" localSheetId="18" hidden="1">'[3]FlujoTJ'!#REF!</definedName>
    <definedName name="__123Graph_DCHART2" hidden="1">'[3]FlujoTJ'!#REF!</definedName>
    <definedName name="__123Graph_DCURRENT" localSheetId="6" hidden="1">'[3]FlujoTJ'!#REF!</definedName>
    <definedName name="__123Graph_DCURRENT" localSheetId="8" hidden="1">'[3]FlujoTJ'!#REF!</definedName>
    <definedName name="__123Graph_DCURRENT" localSheetId="12" hidden="1">'[3]FlujoTJ'!#REF!</definedName>
    <definedName name="__123Graph_DCURRENT" localSheetId="10" hidden="1">'[3]FlujoTJ'!#REF!</definedName>
    <definedName name="__123Graph_DCURRENT" localSheetId="16" hidden="1">'[3]FlujoTJ'!#REF!</definedName>
    <definedName name="__123Graph_DCURRENT" localSheetId="14" hidden="1">'[3]FlujoTJ'!#REF!</definedName>
    <definedName name="__123Graph_DCURRENT" localSheetId="18" hidden="1">'[3]FlujoTJ'!#REF!</definedName>
    <definedName name="__123Graph_DCURRENT" hidden="1">'[3]FlujoTJ'!#REF!</definedName>
    <definedName name="__123Graph_F" localSheetId="6" hidden="1">'[3]FlujoTJ'!#REF!</definedName>
    <definedName name="__123Graph_F" localSheetId="8" hidden="1">'[3]FlujoTJ'!#REF!</definedName>
    <definedName name="__123Graph_F" localSheetId="12" hidden="1">'[3]FlujoTJ'!#REF!</definedName>
    <definedName name="__123Graph_F" localSheetId="10" hidden="1">'[3]FlujoTJ'!#REF!</definedName>
    <definedName name="__123Graph_F" localSheetId="16" hidden="1">'[3]FlujoTJ'!#REF!</definedName>
    <definedName name="__123Graph_F" localSheetId="14" hidden="1">'[3]FlujoTJ'!#REF!</definedName>
    <definedName name="__123Graph_F" localSheetId="18" hidden="1">'[3]FlujoTJ'!#REF!</definedName>
    <definedName name="__123Graph_F" hidden="1">'[3]FlujoTJ'!#REF!</definedName>
    <definedName name="__123Graph_FCHART1" localSheetId="6" hidden="1">'[3]FlujoTJ'!#REF!</definedName>
    <definedName name="__123Graph_FCHART1" localSheetId="8" hidden="1">'[3]FlujoTJ'!#REF!</definedName>
    <definedName name="__123Graph_FCHART1" localSheetId="12" hidden="1">'[3]FlujoTJ'!#REF!</definedName>
    <definedName name="__123Graph_FCHART1" localSheetId="10" hidden="1">'[3]FlujoTJ'!#REF!</definedName>
    <definedName name="__123Graph_FCHART1" localSheetId="16" hidden="1">'[3]FlujoTJ'!#REF!</definedName>
    <definedName name="__123Graph_FCHART1" localSheetId="14" hidden="1">'[3]FlujoTJ'!#REF!</definedName>
    <definedName name="__123Graph_FCHART1" localSheetId="18" hidden="1">'[3]FlujoTJ'!#REF!</definedName>
    <definedName name="__123Graph_FCHART1" hidden="1">'[3]FlujoTJ'!#REF!</definedName>
    <definedName name="__123Graph_FCHART2" localSheetId="6" hidden="1">'[3]FlujoTJ'!#REF!</definedName>
    <definedName name="__123Graph_FCHART2" localSheetId="8" hidden="1">'[3]FlujoTJ'!#REF!</definedName>
    <definedName name="__123Graph_FCHART2" localSheetId="12" hidden="1">'[3]FlujoTJ'!#REF!</definedName>
    <definedName name="__123Graph_FCHART2" localSheetId="10" hidden="1">'[3]FlujoTJ'!#REF!</definedName>
    <definedName name="__123Graph_FCHART2" localSheetId="16" hidden="1">'[3]FlujoTJ'!#REF!</definedName>
    <definedName name="__123Graph_FCHART2" localSheetId="14" hidden="1">'[3]FlujoTJ'!#REF!</definedName>
    <definedName name="__123Graph_FCHART2" localSheetId="18" hidden="1">'[3]FlujoTJ'!#REF!</definedName>
    <definedName name="__123Graph_FCHART2" hidden="1">'[3]FlujoTJ'!#REF!</definedName>
    <definedName name="__123Graph_X" localSheetId="6" hidden="1">'[1]EVAL'!#REF!</definedName>
    <definedName name="__123Graph_X" localSheetId="8" hidden="1">'[1]EVAL'!#REF!</definedName>
    <definedName name="__123Graph_X" localSheetId="12" hidden="1">'[1]EVAL'!#REF!</definedName>
    <definedName name="__123Graph_X" localSheetId="10" hidden="1">'[1]EVAL'!#REF!</definedName>
    <definedName name="__123Graph_X" localSheetId="16" hidden="1">'[1]EVAL'!#REF!</definedName>
    <definedName name="__123Graph_X" localSheetId="14" hidden="1">'[1]EVAL'!#REF!</definedName>
    <definedName name="__123Graph_X" localSheetId="18" hidden="1">'[1]EVAL'!#REF!</definedName>
    <definedName name="__123Graph_X" hidden="1">'[1]EVAL'!#REF!</definedName>
    <definedName name="__123Graph_XCHART1" localSheetId="6" hidden="1">'[3]FlujoTJ'!#REF!</definedName>
    <definedName name="__123Graph_XCHART1" localSheetId="8" hidden="1">'[3]FlujoTJ'!#REF!</definedName>
    <definedName name="__123Graph_XCHART1" localSheetId="12" hidden="1">'[3]FlujoTJ'!#REF!</definedName>
    <definedName name="__123Graph_XCHART1" localSheetId="10" hidden="1">'[3]FlujoTJ'!#REF!</definedName>
    <definedName name="__123Graph_XCHART1" localSheetId="16" hidden="1">'[3]FlujoTJ'!#REF!</definedName>
    <definedName name="__123Graph_XCHART1" localSheetId="14" hidden="1">'[3]FlujoTJ'!#REF!</definedName>
    <definedName name="__123Graph_XCHART1" localSheetId="18" hidden="1">'[3]FlujoTJ'!#REF!</definedName>
    <definedName name="__123Graph_XCHART1" hidden="1">'[3]FlujoTJ'!#REF!</definedName>
    <definedName name="__123Graph_XCHART2" localSheetId="6" hidden="1">'[3]FlujoTJ'!#REF!</definedName>
    <definedName name="__123Graph_XCHART2" localSheetId="8" hidden="1">'[3]FlujoTJ'!#REF!</definedName>
    <definedName name="__123Graph_XCHART2" localSheetId="12" hidden="1">'[3]FlujoTJ'!#REF!</definedName>
    <definedName name="__123Graph_XCHART2" localSheetId="10" hidden="1">'[3]FlujoTJ'!#REF!</definedName>
    <definedName name="__123Graph_XCHART2" localSheetId="16" hidden="1">'[3]FlujoTJ'!#REF!</definedName>
    <definedName name="__123Graph_XCHART2" localSheetId="14" hidden="1">'[3]FlujoTJ'!#REF!</definedName>
    <definedName name="__123Graph_XCHART2" localSheetId="18" hidden="1">'[3]FlujoTJ'!#REF!</definedName>
    <definedName name="__123Graph_XCHART2" hidden="1">'[3]FlujoTJ'!#REF!</definedName>
    <definedName name="__123Graph_XCORNU" localSheetId="6" hidden="1">'[1]EVAL'!#REF!</definedName>
    <definedName name="__123Graph_XCORNU" localSheetId="8" hidden="1">'[1]EVAL'!#REF!</definedName>
    <definedName name="__123Graph_XCORNU" localSheetId="12" hidden="1">'[1]EVAL'!#REF!</definedName>
    <definedName name="__123Graph_XCORNU" localSheetId="10" hidden="1">'[1]EVAL'!#REF!</definedName>
    <definedName name="__123Graph_XCORNU" localSheetId="16" hidden="1">'[1]EVAL'!#REF!</definedName>
    <definedName name="__123Graph_XCORNU" localSheetId="14" hidden="1">'[1]EVAL'!#REF!</definedName>
    <definedName name="__123Graph_XCORNU" localSheetId="18" hidden="1">'[1]EVAL'!#REF!</definedName>
    <definedName name="__123Graph_XCORNU" hidden="1">'[1]EVAL'!#REF!</definedName>
    <definedName name="__123Graph_XCURRENT" localSheetId="6" hidden="1">'[3]FlujoTJ'!#REF!</definedName>
    <definedName name="__123Graph_XCURRENT" localSheetId="8" hidden="1">'[3]FlujoTJ'!#REF!</definedName>
    <definedName name="__123Graph_XCURRENT" localSheetId="12" hidden="1">'[3]FlujoTJ'!#REF!</definedName>
    <definedName name="__123Graph_XCURRENT" localSheetId="10" hidden="1">'[3]FlujoTJ'!#REF!</definedName>
    <definedName name="__123Graph_XCURRENT" localSheetId="16" hidden="1">'[3]FlujoTJ'!#REF!</definedName>
    <definedName name="__123Graph_XCURRENT" localSheetId="14" hidden="1">'[3]FlujoTJ'!#REF!</definedName>
    <definedName name="__123Graph_XCURRENT" localSheetId="18" hidden="1">'[3]FlujoTJ'!#REF!</definedName>
    <definedName name="__123Graph_XCURRENT" hidden="1">'[3]FlujoTJ'!#REF!</definedName>
    <definedName name="_1__123Graph_FCURRENT" localSheetId="6" hidden="1">'[3]FlujoTJ'!#REF!</definedName>
    <definedName name="_1__123Graph_FCURRENT" localSheetId="8" hidden="1">'[3]FlujoTJ'!#REF!</definedName>
    <definedName name="_1__123Graph_FCURRENT" localSheetId="12" hidden="1">'[3]FlujoTJ'!#REF!</definedName>
    <definedName name="_1__123Graph_FCURRENT" localSheetId="10" hidden="1">'[3]FlujoTJ'!#REF!</definedName>
    <definedName name="_1__123Graph_FCURRENT" localSheetId="16" hidden="1">'[3]FlujoTJ'!#REF!</definedName>
    <definedName name="_1__123Graph_FCURRENT" localSheetId="14" hidden="1">'[3]FlujoTJ'!#REF!</definedName>
    <definedName name="_1__123Graph_FCURRENT" localSheetId="18" hidden="1">'[3]FlujoTJ'!#REF!</definedName>
    <definedName name="_1__123Graph_FCURRENT" hidden="1">'[3]FlujoTJ'!#REF!</definedName>
    <definedName name="_123Graph_FCURRENT" localSheetId="6" hidden="1">'[3]FlujoTJ'!#REF!</definedName>
    <definedName name="_123Graph_FCURRENT" localSheetId="8" hidden="1">'[3]FlujoTJ'!#REF!</definedName>
    <definedName name="_123Graph_FCURRENT" localSheetId="12" hidden="1">'[3]FlujoTJ'!#REF!</definedName>
    <definedName name="_123Graph_FCURRENT" localSheetId="10" hidden="1">'[3]FlujoTJ'!#REF!</definedName>
    <definedName name="_123Graph_FCURRENT" localSheetId="16" hidden="1">'[3]FlujoTJ'!#REF!</definedName>
    <definedName name="_123Graph_FCURRENT" localSheetId="14" hidden="1">'[3]FlujoTJ'!#REF!</definedName>
    <definedName name="_123Graph_FCURRENT" localSheetId="18" hidden="1">'[3]FlujoTJ'!#REF!</definedName>
    <definedName name="_123Graph_FCURRENT" hidden="1">'[3]FlujoTJ'!#REF!</definedName>
    <definedName name="_Fill" hidden="1">'[4]CAP-120mm2'!$E$9</definedName>
    <definedName name="_Key1" localSheetId="6" hidden="1">'[2]Tipo de Cambio'!#REF!</definedName>
    <definedName name="_Key1" localSheetId="8" hidden="1">'[2]Tipo de Cambio'!#REF!</definedName>
    <definedName name="_Key1" localSheetId="12" hidden="1">'[2]Tipo de Cambio'!#REF!</definedName>
    <definedName name="_Key1" localSheetId="10" hidden="1">'[2]Tipo de Cambio'!#REF!</definedName>
    <definedName name="_Key1" localSheetId="16" hidden="1">'[2]Tipo de Cambio'!#REF!</definedName>
    <definedName name="_Key1" localSheetId="14" hidden="1">'[2]Tipo de Cambio'!#REF!</definedName>
    <definedName name="_Key1" localSheetId="18" hidden="1">'[2]Tipo de Cambio'!#REF!</definedName>
    <definedName name="_Key1" hidden="1">'[2]Tipo de Cambio'!#REF!</definedName>
    <definedName name="_Key2" localSheetId="6" hidden="1">'[2]Tipo de Cambio'!#REF!</definedName>
    <definedName name="_Key2" localSheetId="8" hidden="1">'[2]Tipo de Cambio'!#REF!</definedName>
    <definedName name="_Key2" localSheetId="12" hidden="1">'[2]Tipo de Cambio'!#REF!</definedName>
    <definedName name="_Key2" localSheetId="10" hidden="1">'[2]Tipo de Cambio'!#REF!</definedName>
    <definedName name="_Key2" localSheetId="16" hidden="1">'[2]Tipo de Cambio'!#REF!</definedName>
    <definedName name="_Key2" localSheetId="14" hidden="1">'[2]Tipo de Cambio'!#REF!</definedName>
    <definedName name="_Key2" localSheetId="18" hidden="1">'[2]Tipo de Cambio'!#REF!</definedName>
    <definedName name="_Key2" hidden="1">'[2]Tipo de Cambio'!#REF!</definedName>
    <definedName name="_Order1" hidden="1">0</definedName>
    <definedName name="_Order2" hidden="1">0</definedName>
    <definedName name="_Regression_Int" hidden="1">1</definedName>
    <definedName name="_xlfn.IFERROR" hidden="1">#NAME?</definedName>
    <definedName name="_xlfn.SUMIFS" hidden="1">#NAME?</definedName>
    <definedName name="aA" localSheetId="6" hidden="1">#REF!</definedName>
    <definedName name="aA" localSheetId="8" hidden="1">#REF!</definedName>
    <definedName name="aA" localSheetId="12" hidden="1">#REF!</definedName>
    <definedName name="aA" localSheetId="10" hidden="1">#REF!</definedName>
    <definedName name="aA" localSheetId="16" hidden="1">#REF!</definedName>
    <definedName name="aA" localSheetId="14" hidden="1">#REF!</definedName>
    <definedName name="aA" localSheetId="18" hidden="1">#REF!</definedName>
    <definedName name="aA" hidden="1">#REF!</definedName>
    <definedName name="aAA" localSheetId="6" hidden="1">#REF!</definedName>
    <definedName name="aAA" localSheetId="8" hidden="1">#REF!</definedName>
    <definedName name="aAA" localSheetId="12" hidden="1">#REF!</definedName>
    <definedName name="aAA" localSheetId="10" hidden="1">#REF!</definedName>
    <definedName name="aAA" localSheetId="16" hidden="1">#REF!</definedName>
    <definedName name="aAA" localSheetId="14" hidden="1">#REF!</definedName>
    <definedName name="aAA" localSheetId="18" hidden="1">#REF!</definedName>
    <definedName name="aAA" hidden="1">#REF!</definedName>
    <definedName name="_xlnm.Print_Area" localSheetId="3">'F1'!$B$2:$E$35</definedName>
    <definedName name="_xlnm.Print_Area" localSheetId="4">'F2'!$A$2:$V$64</definedName>
    <definedName name="_xlnm.Print_Area" localSheetId="5">'F3-SC'!$A$2:$V$44</definedName>
    <definedName name="_xlnm.Print_Area" localSheetId="6">'F3-SF'!$A$2:$V$31</definedName>
    <definedName name="_xlnm.Print_Area" localSheetId="7">'F4-SC'!$A$2:$V$34</definedName>
    <definedName name="_xlnm.Print_Area" localSheetId="8">'F4-SF'!$A$2:$V$25</definedName>
    <definedName name="_xlnm.Print_Area" localSheetId="11">'F5A-SC'!$A$2:$X$61</definedName>
    <definedName name="_xlnm.Print_Area" localSheetId="12">'F5A-SF'!$A$2:$X$68</definedName>
    <definedName name="_xlnm.Print_Area" localSheetId="9">'F5-SC'!$A$2:$W$57</definedName>
    <definedName name="_xlnm.Print_Area" localSheetId="10">'F5-SF'!$A$2:$X$66</definedName>
    <definedName name="_xlnm.Print_Area" localSheetId="15">'F6A-SC'!$A$2:$W$29</definedName>
    <definedName name="_xlnm.Print_Area" localSheetId="16">'F6A-SF'!$A$2:$W$29</definedName>
    <definedName name="_xlnm.Print_Area" localSheetId="13">'F6-SC'!$A$2:$W$27</definedName>
    <definedName name="_xlnm.Print_Area" localSheetId="14">'F6-SF'!$A$2:$W$26</definedName>
    <definedName name="_xlnm.Print_Area" localSheetId="17">'F7'!$A$2:$W$31</definedName>
    <definedName name="_xlnm.Print_Area" localSheetId="18">'F7A'!$A$2:$W$31</definedName>
    <definedName name="_xlnm.Print_Area" localSheetId="19">'F8'!$A$2:$W$54</definedName>
    <definedName name="_xlnm.Print_Area" localSheetId="20">'F9'!$B$3:$G$39</definedName>
    <definedName name="_xlnm.Print_Area" localSheetId="1">'RESULTADOS'!$B$3:$E$32</definedName>
    <definedName name="BookType">1</definedName>
    <definedName name="BT5R">'Entrada'!$D$102</definedName>
    <definedName name="CFIJO">'Entrada'!$D$104</definedName>
    <definedName name="COyM">'Entrada'!$D$89</definedName>
    <definedName name="CoymF">'Entrada'!$J$89</definedName>
    <definedName name="Decisions">1</definedName>
    <definedName name="FaC">'F2'!$C$22</definedName>
    <definedName name="FACFOT">'Entrada'!#REF!</definedName>
    <definedName name="FNP">'F5-SF'!$C$49</definedName>
    <definedName name="FSC">'Entrada'!$D$84:$D$85</definedName>
    <definedName name="FSCF">'Entrada'!$J$84:$J$85</definedName>
    <definedName name="FSFOT">'Entrada'!$J$83:$J$86,'Entrada'!$K$82</definedName>
    <definedName name="FSFOTV">'Entrada'!$J$83:$J$86</definedName>
    <definedName name="FSOCIAL">'Entrada'!$D$83:$D$86</definedName>
    <definedName name="IGV">'F5A-SC'!$G$68</definedName>
    <definedName name="igvf">'F5A-SF'!$G$75</definedName>
    <definedName name="ISOCF">'Entrada'!$J$109:$J$112</definedName>
    <definedName name="ISOCIAL">'Entrada'!$D$109:$D$112</definedName>
    <definedName name="KALP">'F2'!$C$24</definedName>
    <definedName name="LRP" hidden="1">{"CONCABL1.1",#N/A,FALSE,"1.1.1a1.1.3 ACSR";"AISL1.2",#N/A,FALSE,"1.1.1a1.1.3 ACSR";"torr1.1.3",#N/A,FALSE,"1.1.1a1.1.3 ACSR";"cm1.2",#N/A,FALSE,"1.2 ACSR";"cm2.2",#N/A,FALSE,"1.2 ACSR";#N/A,#N/A,FALSE,"1.3 ACSR";#N/A,#N/A,FALSE,"2.1.1A2.1.3 ACAR";"ac2.1",#N/A,FALSE,"1.2 ACAR";"ac2.2",#N/A,FALSE,"1.2 ACAR";#N/A,#N/A,FALSE,"2.3 ACAR"}</definedName>
    <definedName name="MALTER">'RESULTADOS'!$C$4</definedName>
    <definedName name="MODFOT">'F3-SF'!$E$35:$M$51</definedName>
    <definedName name="MODR">'Entrada'!$J$21</definedName>
    <definedName name="ModUG">'Entrada'!$J$22</definedName>
    <definedName name="MODULO">'F3-SF'!$B$37:$N$51</definedName>
    <definedName name="NMPF">'F4-SF'!$B$21</definedName>
    <definedName name="Per">'F2'!$C$21</definedName>
    <definedName name="PPL">'F2'!$C$25</definedName>
    <definedName name="Proy">'Entrada'!$D$22:$D$23,'Entrada'!$D$25,'Entrada'!$B$30:$E$51,'Entrada'!$D$55:$D$56,'Entrada'!$D$59:$D$63,'Entrada'!$D$65:$D$69,'Entrada'!$D$71:$D$77,'Entrada'!$D$79:$D$80,'Entrada'!$E$82,'Entrada'!$D$89,'Entrada'!$D$91:$D$96,'Entrada'!$D$102:$D$104,'Entrada'!$E$106,'Entrada'!$D$109:$D$112,'Entrada'!$D$115:$D$122,'Entrada'!$D$125:$E$131,'Entrada'!$D$83:$D$86,'Entrada'!$A$135,'Entrada'!$A$137,'Entrada'!$A$139,'Entrada'!$D$141,'Entrada'!$J$21:$J$22,'Entrada'!$J$23:$J$25</definedName>
    <definedName name="r">{"vista1",#N/A,FALSE,"Central_Hidr?ulica_Existente";"vista1",#N/A,FALSE,"Central_T?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RAP">'Entrada'!$J$24:$J$25</definedName>
    <definedName name="RDEM">'Entrada'!$J$5:$J$6,'Entrada'!$D$5:$D$7,'Entrada'!$D$10:$D$14,'Entrada'!$J$9:$J$14</definedName>
    <definedName name="RDVers">"2.20A"</definedName>
    <definedName name="region">'Entrada'!$J$5</definedName>
    <definedName name="RiskDet">TRUE</definedName>
    <definedName name="RSER">'Entrada'!$D$22:$D$23,'Entrada'!$D$25,'Entrada'!$B$30:$E$51,'Entrada'!$D$55:$D$56,'Entrada'!$D$59:$D$63,'Entrada'!$D$65:$D$69,'Entrada'!$D$71:$D$77,'Entrada'!$D$79:$D$81,'Entrada'!$E$82,'Entrada'!$D$84:$D$85,'Entrada'!$D$89,'Entrada'!$D$91:$D$96,'Entrada'!$D$102:$D$104,'Entrada'!$E$106,'Entrada'!$D$109:$D$112,'Entrada'!$D$115:$D$116,'Entrada'!$D$118:$D$122,'Entrada'!$D$125:$E$131,'Entrada'!$C$135,'Entrada'!$A$135:$E$135,'Entrada'!$A$137:$E$137,'Entrada'!$A$139:$E$139,'Entrada'!$A$139:$E$139,'Entrada'!$D$141,'Entrada'!$A$139:$E$139,'Entrada'!$A$137:$E$137,'Entrada'!$A$135:$E$135,'Entrada'!$D$141</definedName>
    <definedName name="RSERF">'Entrada'!$J$21:$J$25,'Entrada'!$J$55:$J$57,'Entrada'!$J$61:$J$66,'Entrada'!$J$68:$J$69,'Entrada'!$J$71:$J$75,'Entrada'!$J$78:$J$79,'Entrada'!$K$82,'Entrada'!$J$84:$J$85,'Entrada'!$J$89,'Entrada'!$J$91:$J$93,'Entrada'!$J$99,'Entrada'!$J$103,'Entrada'!$K$106,'Entrada'!$J$109:$J$112,'Entrada'!$J$115:$J$116,'Entrada'!$J$125:$K$131,'Entrada'!$G$135:$K$135,'Entrada'!$G$137:$K$137,'Entrada'!$G$139:$K$139,'Entrada'!$J$141</definedName>
    <definedName name="SEL">'Entrada'!$D$16</definedName>
    <definedName name="senCoym">'F9'!$H$25</definedName>
    <definedName name="SenPcom">'F9'!$H$19</definedName>
    <definedName name="sensCU">'F9'!$H$28</definedName>
    <definedName name="sensIlumin">'F9'!$H$34</definedName>
    <definedName name="sensInver">'F9'!$H$31</definedName>
    <definedName name="sensRTV">'F9'!$H$37</definedName>
    <definedName name="senTRes">'F9'!$H$22</definedName>
    <definedName name="SERFO">'Entrada'!$J$21:$J$22,'Entrada'!$J$23:$J$25,'Entrada'!$H$31:$K$51,'Entrada'!$J$55:$J$57,'Entrada'!$J$61:$J$65,'Entrada'!$J$67:$J$68,'Entrada'!$J$70:$J$74,'Entrada'!$J$77,'Entrada'!$K$82,'Entrada'!$J$84:$J$85,'Entrada'!$J$89,'Entrada'!$J$91:$J$92,'Entrada'!$J$98:$J$102,'Entrada'!$K$106,'Entrada'!$J$109:$J$112,'Entrada'!$J$115:$J$117,'Entrada'!$J$125:$K$131,'Entrada'!$G$135:$K$135,'Entrada'!$G$137:$K$137</definedName>
    <definedName name="ss" hidden="1">{"vista 1",#N/A,FALSE,"CMP";"vista 2",#N/A,FALSE,"CMP"}</definedName>
    <definedName name="SSS" hidden="1">{"CONCABL1.1",#N/A,FALSE,"1.1.1a1.1.3 ACSR";"AISL1.2",#N/A,FALSE,"1.1.1a1.1.3 ACSR";"torr1.1.3",#N/A,FALSE,"1.1.1a1.1.3 ACSR";"cm1.2",#N/A,FALSE,"1.2 ACSR";"cm2.2",#N/A,FALSE,"1.2 ACSR";#N/A,#N/A,FALSE,"1.3 ACSR";#N/A,#N/A,FALSE,"2.1.1A2.1.3 ACAR";"ac2.1",#N/A,FALSE,"1.2 ACAR";"ac2.2",#N/A,FALSE,"1.2 ACAR";#N/A,#N/A,FALSE,"2.3 ACAR"}</definedName>
    <definedName name="ssss" hidden="1">{"vista 1",#N/A,FALSE,"CMP";"vista 2",#N/A,FALSE,"CMP"}</definedName>
    <definedName name="ssssssss" hidden="1">{"CONCABL1.1",#N/A,FALSE,"1.1.1a1.1.3 ACSR";"AISL1.2",#N/A,FALSE,"1.1.1a1.1.3 ACSR";"torr1.1.3",#N/A,FALSE,"1.1.1a1.1.3 ACSR";"cm1.2",#N/A,FALSE,"1.2 ACSR";"cm2.2",#N/A,FALSE,"1.2 ACSR";#N/A,#N/A,FALSE,"1.3 ACSR";#N/A,#N/A,FALSE,"2.1.1A2.1.3 ACAR";"ac2.1",#N/A,FALSE,"1.2 ACAR";"ac2.2",#N/A,FALSE,"1.2 ACAR";#N/A,#N/A,FALSE,"2.3 ACAR"}</definedName>
    <definedName name="ST">'F2'!$C$23</definedName>
    <definedName name="SUM_DEP" hidden="1">{"CONCABL1.1",#N/A,FALSE,"1.1.1a1.1.3 ACSR";"AISL1.2",#N/A,FALSE,"1.1.1a1.1.3 ACSR";"torr1.1.3",#N/A,FALSE,"1.1.1a1.1.3 ACSR";"cm1.2",#N/A,FALSE,"1.2 ACSR";"cm2.2",#N/A,FALSE,"1.2 ACSR";#N/A,#N/A,FALSE,"1.3 ACSR";#N/A,#N/A,FALSE,"2.1.1A2.1.3 ACAR";"ac2.1",#N/A,FALSE,"1.2 ACAR";"ac2.2",#N/A,FALSE,"1.2 ACAR";#N/A,#N/A,FALSE,"2.3 ACAR"}</definedName>
    <definedName name="TAP">'Entrada'!$D$103</definedName>
    <definedName name="TarC">'Entrada'!$D$97</definedName>
    <definedName name="TarFot">'Entrada'!$J$100</definedName>
    <definedName name="TarfotUS">'Entrada'!$J$104</definedName>
    <definedName name="TCD">'Entrada'!$D$91</definedName>
    <definedName name="TCDF">'Entrada'!$J$93</definedName>
    <definedName name="wqs" hidden="1">'[7]CAP-120mm2'!$E$9</definedName>
    <definedName name="wrn.Esquema._.Unifilar._.de._.CMP." hidden="1">{"vista 1",#N/A,FALSE,"CMP";"vista 2",#N/A,FALSE,"CMP"}</definedName>
    <definedName name="wrn.precios." hidden="1">{"CONCABL1.1",#N/A,FALSE,"1.1.1a1.1.3 ACSR";"AISL1.2",#N/A,FALSE,"1.1.1a1.1.3 ACSR";"torr1.1.3",#N/A,FALSE,"1.1.1a1.1.3 ACSR";"cm1.2",#N/A,FALSE,"1.2 ACSR";"cm2.2",#N/A,FALSE,"1.2 ACSR";#N/A,#N/A,FALSE,"1.3 ACSR";#N/A,#N/A,FALSE,"2.1.1A2.1.3 ACAR";"ac2.1",#N/A,FALSE,"1.2 ACAR";"ac2.2",#N/A,FALSE,"1.2 ACAR";#N/A,#N/A,FALSE,"2.3 ACAR"}</definedName>
    <definedName name="wrn.Tarifas." hidden="1">{"vista1",#N/A,FALSE,"Tarifas_Teoricas_May_97";"vista2",#N/A,FALSE,"Tarifas_Teoricas_May_97";"vista1",#N/A,FALSE,"Tarifas_Barra_May_97";"vista2",#N/A,FALSE,"Tarifas_Barra_May_97"}</definedName>
    <definedName name="wrn.Todo." hidden="1">{"vista1",#N/A,FALSE,"Central_Hidr?ulica_Existente";"vista1",#N/A,FALSE,"Central_T?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yy" hidden="1">{"vista 1",#N/A,FALSE,"CMP";"vista 2",#N/A,FALSE,"CMP"}</definedName>
    <definedName name="Z_56770540_A97A_11D1_870B_00002143DF72_.wvu.Rows" localSheetId="6" hidden="1">'[8]PRESUPUESTO'!#REF!,'[8]PRESUPUESTO'!#REF!,'[8]PRESUPUESTO'!#REF!,'[8]PRESUPUESTO'!#REF!,'[8]PRESUPUESTO'!#REF!,'[8]PRESUPUESTO'!#REF!,'[8]PRESUPUESTO'!#REF!,'[8]PRESUPUESTO'!#REF!,'[8]PRESUPUESTO'!#REF!,'[8]PRESUPUESTO'!#REF!,'[8]PRESUPUESTO'!#REF!,'[8]PRESUPUESTO'!$287:$287,'[8]PRESUPUESTO'!$292:$294</definedName>
    <definedName name="Z_56770540_A97A_11D1_870B_00002143DF72_.wvu.Rows" localSheetId="8" hidden="1">'[8]PRESUPUESTO'!#REF!,'[8]PRESUPUESTO'!#REF!,'[8]PRESUPUESTO'!#REF!,'[8]PRESUPUESTO'!#REF!,'[8]PRESUPUESTO'!#REF!,'[8]PRESUPUESTO'!#REF!,'[8]PRESUPUESTO'!#REF!,'[8]PRESUPUESTO'!#REF!,'[8]PRESUPUESTO'!#REF!,'[8]PRESUPUESTO'!#REF!,'[8]PRESUPUESTO'!#REF!,'[8]PRESUPUESTO'!$287:$287,'[8]PRESUPUESTO'!$292:$294</definedName>
    <definedName name="Z_56770540_A97A_11D1_870B_00002143DF72_.wvu.Rows" localSheetId="12" hidden="1">'[8]PRESUPUESTO'!#REF!,'[8]PRESUPUESTO'!#REF!,'[8]PRESUPUESTO'!#REF!,'[8]PRESUPUESTO'!#REF!,'[8]PRESUPUESTO'!#REF!,'[8]PRESUPUESTO'!#REF!,'[8]PRESUPUESTO'!#REF!,'[8]PRESUPUESTO'!#REF!,'[8]PRESUPUESTO'!#REF!,'[8]PRESUPUESTO'!#REF!,'[8]PRESUPUESTO'!#REF!,'[8]PRESUPUESTO'!$287:$287,'[8]PRESUPUESTO'!$292:$294</definedName>
    <definedName name="Z_56770540_A97A_11D1_870B_00002143DF72_.wvu.Rows" localSheetId="10" hidden="1">'[8]PRESUPUESTO'!#REF!,'[8]PRESUPUESTO'!#REF!,'[8]PRESUPUESTO'!#REF!,'[8]PRESUPUESTO'!#REF!,'[8]PRESUPUESTO'!#REF!,'[8]PRESUPUESTO'!#REF!,'[8]PRESUPUESTO'!#REF!,'[8]PRESUPUESTO'!#REF!,'[8]PRESUPUESTO'!#REF!,'[8]PRESUPUESTO'!#REF!,'[8]PRESUPUESTO'!#REF!,'[8]PRESUPUESTO'!$287:$287,'[8]PRESUPUESTO'!$292:$294</definedName>
    <definedName name="Z_56770540_A97A_11D1_870B_00002143DF72_.wvu.Rows" localSheetId="16" hidden="1">'[8]PRESUPUESTO'!#REF!,'[8]PRESUPUESTO'!#REF!,'[8]PRESUPUESTO'!#REF!,'[8]PRESUPUESTO'!#REF!,'[8]PRESUPUESTO'!#REF!,'[8]PRESUPUESTO'!#REF!,'[8]PRESUPUESTO'!#REF!,'[8]PRESUPUESTO'!#REF!,'[8]PRESUPUESTO'!#REF!,'[8]PRESUPUESTO'!#REF!,'[8]PRESUPUESTO'!#REF!,'[8]PRESUPUESTO'!$287:$287,'[8]PRESUPUESTO'!$292:$294</definedName>
    <definedName name="Z_56770540_A97A_11D1_870B_00002143DF72_.wvu.Rows" localSheetId="14" hidden="1">'[8]PRESUPUESTO'!#REF!,'[8]PRESUPUESTO'!#REF!,'[8]PRESUPUESTO'!#REF!,'[8]PRESUPUESTO'!#REF!,'[8]PRESUPUESTO'!#REF!,'[8]PRESUPUESTO'!#REF!,'[8]PRESUPUESTO'!#REF!,'[8]PRESUPUESTO'!#REF!,'[8]PRESUPUESTO'!#REF!,'[8]PRESUPUESTO'!#REF!,'[8]PRESUPUESTO'!#REF!,'[8]PRESUPUESTO'!$287:$287,'[8]PRESUPUESTO'!$292:$294</definedName>
    <definedName name="Z_56770540_A97A_11D1_870B_00002143DF72_.wvu.Rows" localSheetId="18" hidden="1">'[8]PRESUPUESTO'!#REF!,'[8]PRESUPUESTO'!#REF!,'[8]PRESUPUESTO'!#REF!,'[8]PRESUPUESTO'!#REF!,'[8]PRESUPUESTO'!#REF!,'[8]PRESUPUESTO'!#REF!,'[8]PRESUPUESTO'!#REF!,'[8]PRESUPUESTO'!#REF!,'[8]PRESUPUESTO'!#REF!,'[8]PRESUPUESTO'!#REF!,'[8]PRESUPUESTO'!#REF!,'[8]PRESUPUESTO'!$287:$287,'[8]PRESUPUESTO'!$292:$294</definedName>
    <definedName name="Z_56770540_A97A_11D1_870B_00002143DF72_.wvu.Rows" hidden="1">'[8]PRESUPUESTO'!#REF!,'[8]PRESUPUESTO'!#REF!,'[8]PRESUPUESTO'!#REF!,'[8]PRESUPUESTO'!#REF!,'[8]PRESUPUESTO'!#REF!,'[8]PRESUPUESTO'!#REF!,'[8]PRESUPUESTO'!#REF!,'[8]PRESUPUESTO'!#REF!,'[8]PRESUPUESTO'!#REF!,'[8]PRESUPUESTO'!#REF!,'[8]PRESUPUESTO'!#REF!,'[8]PRESUPUESTO'!$287:$287,'[8]PRESUPUESTO'!$292:$294</definedName>
    <definedName name="Z_6104898C_BDC8_4F17_AC01_8428510C4C82_.wvu.Cols" hidden="1">#REF!,#REF!</definedName>
    <definedName name="Z_6104898C_BDC8_4F17_AC01_8428510C4C82_.wvu.PrintArea" hidden="1">#REF!</definedName>
  </definedNames>
  <calcPr fullCalcOnLoad="1"/>
</workbook>
</file>

<file path=xl/sharedStrings.xml><?xml version="1.0" encoding="utf-8"?>
<sst xmlns="http://schemas.openxmlformats.org/spreadsheetml/2006/main" count="1095" uniqueCount="466">
  <si>
    <t>A.</t>
  </si>
  <si>
    <t>B.</t>
  </si>
  <si>
    <t>Año</t>
  </si>
  <si>
    <t>Factor de Carga</t>
  </si>
  <si>
    <t>RUBRO</t>
  </si>
  <si>
    <t>INVERSION</t>
  </si>
  <si>
    <t>Costo de Operación y Mantenimiento</t>
  </si>
  <si>
    <t>Impuesto a la Renta</t>
  </si>
  <si>
    <t>C.</t>
  </si>
  <si>
    <t>TOTAL COSTOS INCREMENTALES</t>
  </si>
  <si>
    <t>SITUACION CON PROYECTO</t>
  </si>
  <si>
    <t>SITUACION SIN PROYECTO</t>
  </si>
  <si>
    <t>BENEFICIOS INCREMENTALES</t>
  </si>
  <si>
    <t>Inversión</t>
  </si>
  <si>
    <t>ESTADO DE PERDIDAS Y GANANCIA</t>
  </si>
  <si>
    <t>COSTOS INCREMENTALES</t>
  </si>
  <si>
    <t>BENEFICIOS NETOS</t>
  </si>
  <si>
    <t>Entidad se hace cargo de la operación y mantenimiento del proyecto.</t>
  </si>
  <si>
    <t xml:space="preserve">Capacidad técnica y logística de los encargados de la operación y mantenimiento. </t>
  </si>
  <si>
    <t>FLUJO DE COSTOS DE OPERACIÓN Y MANTENIMIENTO</t>
  </si>
  <si>
    <t>COBERTURA</t>
  </si>
  <si>
    <t>Participacion de la Poblacion</t>
  </si>
  <si>
    <t>Simulación de las Variables Criticas seleccionadas.</t>
  </si>
  <si>
    <t>Variaciones porcentuales</t>
  </si>
  <si>
    <t>FACTORES DE SENSIBILIDAD</t>
  </si>
  <si>
    <t>Intangibles</t>
  </si>
  <si>
    <t>BENEFICIOS INCREMENTALES (A-B)</t>
  </si>
  <si>
    <t>CON PROYECTO</t>
  </si>
  <si>
    <t>TIR (%)</t>
  </si>
  <si>
    <t>VAN-S</t>
  </si>
  <si>
    <t>ANÁLISIS DE  SOSTENIBILIDAD DEL PROYECTO</t>
  </si>
  <si>
    <t>Abonados Totales</t>
  </si>
  <si>
    <t>(A precios privados S/.)</t>
  </si>
  <si>
    <t>(A precios sociales S/.)</t>
  </si>
  <si>
    <t>Beneficio Total con Proyecto</t>
  </si>
  <si>
    <t>A precios privados (S/.)</t>
  </si>
  <si>
    <t>Beneficio Total sin Proyecto</t>
  </si>
  <si>
    <t>Indicadores</t>
  </si>
  <si>
    <t>Tasa de Crecimiento poblacional</t>
  </si>
  <si>
    <t>COyM</t>
  </si>
  <si>
    <t>Compra de Energia</t>
  </si>
  <si>
    <t>Precio de compra de energía</t>
  </si>
  <si>
    <t>Grado de Electrificación</t>
  </si>
  <si>
    <t>Grado de Electrificación Inicial</t>
  </si>
  <si>
    <t>Grado de Electrificación final</t>
  </si>
  <si>
    <t>B. Proyeccion</t>
  </si>
  <si>
    <t>Variables  seleccionadas.</t>
  </si>
  <si>
    <t>Red Secundaria</t>
  </si>
  <si>
    <t>Cargo Fijo</t>
  </si>
  <si>
    <t>Iluminación</t>
  </si>
  <si>
    <t>Beneficio por Iluminación</t>
  </si>
  <si>
    <t>Beneficio Radio y Televisión</t>
  </si>
  <si>
    <t>Refrigeración</t>
  </si>
  <si>
    <t>Por kW.h Adicionales</t>
  </si>
  <si>
    <t>Tasa de Crecimiento - Consumo por usuario</t>
  </si>
  <si>
    <t>Sector Tipico</t>
  </si>
  <si>
    <t>Ingresos</t>
  </si>
  <si>
    <t>Costos</t>
  </si>
  <si>
    <t>Utilidad Bruta</t>
  </si>
  <si>
    <t>Impuesto a la renta (30%)</t>
  </si>
  <si>
    <t>Utilidad Neta</t>
  </si>
  <si>
    <t>Depreciación activos</t>
  </si>
  <si>
    <t>Suministro Origen Transable</t>
  </si>
  <si>
    <t>Suministro Origen No Transable</t>
  </si>
  <si>
    <t>VALOR RESIDUAL (-)</t>
  </si>
  <si>
    <t>Consumo de Energía por Usuario Domestico</t>
  </si>
  <si>
    <t>Fuentes de Información</t>
  </si>
  <si>
    <t>Investigación de campo</t>
  </si>
  <si>
    <t>Número de abonados domésticos</t>
  </si>
  <si>
    <t>Número de abonados domésticos tipo I</t>
  </si>
  <si>
    <t>Número de abonados domésticos tipo II</t>
  </si>
  <si>
    <t>Número de abonados comerciales</t>
  </si>
  <si>
    <t>Numero de Abonados Iniciales</t>
  </si>
  <si>
    <t>Consumo por abonados domésticos tipo I</t>
  </si>
  <si>
    <t>Consumo por abonados domésticos tipo II</t>
  </si>
  <si>
    <t>Consumo por abonados domésticos</t>
  </si>
  <si>
    <t>Consumo Inicial Mensual por Abonado (kW.h/cliente)</t>
  </si>
  <si>
    <t>Consumo por abonados Comerciales</t>
  </si>
  <si>
    <t>Consumo por abonados  de usos generales</t>
  </si>
  <si>
    <t>Número de abonados de peq. Industrias</t>
  </si>
  <si>
    <t>Consumo por abonados de peq. Industrias</t>
  </si>
  <si>
    <t>Registro de INEI</t>
  </si>
  <si>
    <t>Numero de Abonados Totales</t>
  </si>
  <si>
    <t>Consumo anual por abonado doméstico</t>
  </si>
  <si>
    <t>Consumo anual por abonado comercial</t>
  </si>
  <si>
    <t>Consumo anual por abonado de Usos Generales</t>
  </si>
  <si>
    <t>Consumo anual por abonado de peq. Industrias</t>
  </si>
  <si>
    <t>Consumo anual de abonados domésticos (kW.h)</t>
  </si>
  <si>
    <t>Consumo anual de abonados comerciales (kW.h)</t>
  </si>
  <si>
    <t>Consumo anual de abonados peq. industrial (kW.h)</t>
  </si>
  <si>
    <t>Consumo anual de abonados uso general (kW.h)</t>
  </si>
  <si>
    <t>Año Inicial</t>
  </si>
  <si>
    <t>Años</t>
  </si>
  <si>
    <t>KALP (Factor de Alumbrado Público en kWh/usuario-mes)</t>
  </si>
  <si>
    <t>Potencia Nominal Promedio de lámpara de AP (W)</t>
  </si>
  <si>
    <t>Normatividad de AP en sectores rurales</t>
  </si>
  <si>
    <t>Consumo Mensual de AP - CMAP (KWh)</t>
  </si>
  <si>
    <t>Calculo del consumo de Alumbrado Público</t>
  </si>
  <si>
    <t>Resultados</t>
  </si>
  <si>
    <t xml:space="preserve">A. Variables </t>
  </si>
  <si>
    <t>Numero de Unidades de Alumbrado Público</t>
  </si>
  <si>
    <t>Numero de Conexiones Domiciliarias</t>
  </si>
  <si>
    <t>Indicador</t>
  </si>
  <si>
    <t>Valor</t>
  </si>
  <si>
    <t>Consumo de energía Total (kW.h)</t>
  </si>
  <si>
    <t>Potencia Total Requerida (kW)</t>
  </si>
  <si>
    <t>Factor de Carga (%)</t>
  </si>
  <si>
    <t>Tasa de crecimiento anual de abonados</t>
  </si>
  <si>
    <t>ANALISIS GENERAL DE LA DEMANDA DEL SERVICIO</t>
  </si>
  <si>
    <t>% Abonados Domésticos</t>
  </si>
  <si>
    <t>% Abonados Comerciales</t>
  </si>
  <si>
    <t>Número de abonados de Uso General</t>
  </si>
  <si>
    <t>% Abonados de Uso General</t>
  </si>
  <si>
    <t>% Abonados de Pequeñas Industrias</t>
  </si>
  <si>
    <t>La oferta de energía disponible en el área de influencia del proyecto provendrá del Sistema Interconectado Nacional y será estimado de acuerdo a la capacidad  de las subestaciones que atenderan la demanda proyectada en el ultimo año, en la situación sin proyecto no existe aun la oferta disponible para cubrir la demanda objetivo.</t>
  </si>
  <si>
    <t>FICHA 02</t>
  </si>
  <si>
    <t>FICHA 03</t>
  </si>
  <si>
    <t>DESCRIPCIÓN</t>
  </si>
  <si>
    <t>No existe oferta disponible</t>
  </si>
  <si>
    <t>Oferta Total</t>
  </si>
  <si>
    <t>Demanda (kW)</t>
  </si>
  <si>
    <t>A. Procedimiento de cálculo, variables importantes y supuestos utilizados  para la estimación de la oferta  con proyecto</t>
  </si>
  <si>
    <t>Oferta Total con Proyecto</t>
  </si>
  <si>
    <t>Oferta Total sin  Proyecto</t>
  </si>
  <si>
    <t>Oferta (kW)</t>
  </si>
  <si>
    <t>FICHA 04</t>
  </si>
  <si>
    <t>Costa</t>
  </si>
  <si>
    <t>Sierra</t>
  </si>
  <si>
    <t>Selva</t>
  </si>
  <si>
    <t>FICHA 05</t>
  </si>
  <si>
    <t>Utilidades</t>
  </si>
  <si>
    <t>Estudio Definitivo</t>
  </si>
  <si>
    <t>Supervision de obra</t>
  </si>
  <si>
    <t>Gastos Generales</t>
  </si>
  <si>
    <t>Transporte  de Equipos y Materiales</t>
  </si>
  <si>
    <t>Montaje (Mano de obra Calificada)</t>
  </si>
  <si>
    <t>Montaje (Mano de obra No Calificada)</t>
  </si>
  <si>
    <t>Linea Primaria</t>
  </si>
  <si>
    <t>Red Primaria</t>
  </si>
  <si>
    <t>Compensación por Servidumbre</t>
  </si>
  <si>
    <t>Inversión en activos</t>
  </si>
  <si>
    <t>Costo de Operación y Mantenimiento con Proyecto</t>
  </si>
  <si>
    <t>Costo de Operación y Mantenimiento sin  Proyecto</t>
  </si>
  <si>
    <t>COSTO TOTAL INVERSION</t>
  </si>
  <si>
    <t>COSTO TOTAL de OyM</t>
  </si>
  <si>
    <t>A precios sociales (S/.)</t>
  </si>
  <si>
    <t>Factor de Corrección</t>
  </si>
  <si>
    <t>Factor Global de Corrección Social</t>
  </si>
  <si>
    <t>FICHA 06</t>
  </si>
  <si>
    <t>Venta de energía domésticos</t>
  </si>
  <si>
    <t>Venta de energía comerciales</t>
  </si>
  <si>
    <t>Venta de energía peq. Industrial</t>
  </si>
  <si>
    <t>Venta de energía uso general</t>
  </si>
  <si>
    <t>Venta de energía alumbrado público</t>
  </si>
  <si>
    <t>Beneficios con Proyecto</t>
  </si>
  <si>
    <t>Beneficios sin Proyecto</t>
  </si>
  <si>
    <t>Cargo fijo (S/./mes)</t>
  </si>
  <si>
    <t>FICHA 06-A</t>
  </si>
  <si>
    <t>FICHA 07</t>
  </si>
  <si>
    <t xml:space="preserve">INDICADORES </t>
  </si>
  <si>
    <t>ECONOMICOS</t>
  </si>
  <si>
    <t>Tasa de Descuento  %</t>
  </si>
  <si>
    <t>VAN   S/.</t>
  </si>
  <si>
    <t>Compra de Energia (S/.)</t>
  </si>
  <si>
    <t>Costos de Operación y Mantenimiento (S/.)</t>
  </si>
  <si>
    <t>Fuentes para financiamiento</t>
  </si>
  <si>
    <t>La participación de los beneficiarios en la etapa de ejecución de las obras del proyecto, será con mano de obra no calificada
En la etapa de la prestación del servicio, la participación de los beneficiarios se hará tangible a través de pago oportuno de su facturación mensual por el servicio de energía eléctrica.</t>
  </si>
  <si>
    <t>Impuesto a la Renta  (S/.)</t>
  </si>
  <si>
    <t>Ingresos Venta de Energia  (S/.)</t>
  </si>
  <si>
    <t>FICHA 08</t>
  </si>
  <si>
    <t>FICHA 09</t>
  </si>
  <si>
    <t>Base</t>
  </si>
  <si>
    <t>Valor Actual de los Costos Operativos (S/.)</t>
  </si>
  <si>
    <t>Valor Actual de los Beneficios (S/.)</t>
  </si>
  <si>
    <t>INDICE DE COBERTURA</t>
  </si>
  <si>
    <t>INDICE DE COBERTURA DURANTE EL PERIODO</t>
  </si>
  <si>
    <t>Tarifa de venta de energía doméstico</t>
  </si>
  <si>
    <t>Beneficio social por iluminación</t>
  </si>
  <si>
    <t>Beneficio social por por Radio y TV</t>
  </si>
  <si>
    <t>Variable</t>
  </si>
  <si>
    <t>VAN a precios sociales (S/.)</t>
  </si>
  <si>
    <t>TIR</t>
  </si>
  <si>
    <t>Indice de Cobertura</t>
  </si>
  <si>
    <t>TIR
Social</t>
  </si>
  <si>
    <t>Personas por hogar promedio</t>
  </si>
  <si>
    <t>Poblacion Total Inicial</t>
  </si>
  <si>
    <t xml:space="preserve">Poblacion Total </t>
  </si>
  <si>
    <t>Región Geográfica</t>
  </si>
  <si>
    <t>Número de Abonados Iniciales</t>
  </si>
  <si>
    <t>Información de la Empresas Concesionaria</t>
  </si>
  <si>
    <t>Poblacion Inicial a Electrificar</t>
  </si>
  <si>
    <t>Pérdida de energía</t>
  </si>
  <si>
    <t>Población Total Inicial</t>
  </si>
  <si>
    <t>Población a Electrificar Inicial</t>
  </si>
  <si>
    <t>Población a Electrificar</t>
  </si>
  <si>
    <t>Tasa de crecimiento anual de Energia</t>
  </si>
  <si>
    <t>Pérdidas de Energia (kW.h)</t>
  </si>
  <si>
    <t>Energía Total Requerida (kW.h)</t>
  </si>
  <si>
    <r>
      <t>Oferta del Servicio (kW)</t>
    </r>
    <r>
      <rPr>
        <b/>
        <vertAlign val="superscript"/>
        <sz val="11"/>
        <color indexed="8"/>
        <rFont val="Calibri"/>
        <family val="2"/>
      </rPr>
      <t>(1)</t>
    </r>
  </si>
  <si>
    <t>(1) Capacidad de Diseño</t>
  </si>
  <si>
    <t>Oferta del Recurso Disponible</t>
  </si>
  <si>
    <t xml:space="preserve">B. Proyección </t>
  </si>
  <si>
    <t>Oferta del Servicio  "con proyecto"</t>
  </si>
  <si>
    <t>Oferta del Servicio  "sin proyecto"</t>
  </si>
  <si>
    <t>Deficit</t>
  </si>
  <si>
    <t>Balance del Recurso Disponible</t>
  </si>
  <si>
    <t>Potencia Requerida (kW)</t>
  </si>
  <si>
    <t>Balance Oferta Demanda del Servicio - Situación sin Proyecto</t>
  </si>
  <si>
    <t>Balance Oferta Demanda  del Servicio - Situación Con Proyecto</t>
  </si>
  <si>
    <t>Saldo Disponible</t>
  </si>
  <si>
    <t>Otros Gastos</t>
  </si>
  <si>
    <t>DEMANDA</t>
  </si>
  <si>
    <t xml:space="preserve">DATOS DE ENTRADA </t>
  </si>
  <si>
    <t>Presupuesto del Estudio</t>
  </si>
  <si>
    <t>PPB (S/kW-mes)</t>
  </si>
  <si>
    <t>PEBP (cS/kW-h)</t>
  </si>
  <si>
    <t>PEBF (cS/kW-h)</t>
  </si>
  <si>
    <t>Precio de Energia Ponderada  (cS/kW-h)</t>
  </si>
  <si>
    <t>Factor de Ponderacion</t>
  </si>
  <si>
    <t>Facto de carga del Sistema Eléctrico</t>
  </si>
  <si>
    <t>Informacion de OSINERGMIN</t>
  </si>
  <si>
    <t>BENEFICIOS</t>
  </si>
  <si>
    <t>Tarifa Alumbrado público (cS/kW-h)</t>
  </si>
  <si>
    <t>VALOR ACTUAL DE BENEFICIOS NETOS</t>
  </si>
  <si>
    <t>Radio y Televisión</t>
  </si>
  <si>
    <t>PIP</t>
  </si>
  <si>
    <t>Beneficio Refrigeración</t>
  </si>
  <si>
    <t>Información de la Concesionaria</t>
  </si>
  <si>
    <t>Costo de Operación y Mantenimiento (COyM)</t>
  </si>
  <si>
    <t>ANALISIS DE SENSIBILIDAD</t>
  </si>
  <si>
    <t>RESULTADOS</t>
  </si>
  <si>
    <t>INDICADORES DE RENTABILIDAD</t>
  </si>
  <si>
    <t>VAN SOCIAL   S/.</t>
  </si>
  <si>
    <t>TIR SOCIAL (%)</t>
  </si>
  <si>
    <t>BALANCE DE ENERGIA</t>
  </si>
  <si>
    <t>Balance Demanda -Oferta del Serivicio</t>
  </si>
  <si>
    <t>INDICADORES DE SOSTENIBILIDAD</t>
  </si>
  <si>
    <t>Resultado</t>
  </si>
  <si>
    <t>Número de Conexiones</t>
  </si>
  <si>
    <t>METRADO DEL PIP</t>
  </si>
  <si>
    <t>COSTOS DE OPERACIÓN Y MANTENIMIENTO</t>
  </si>
  <si>
    <t>Número de Unidades de Alum. Público</t>
  </si>
  <si>
    <t>Tipo de Cambio</t>
  </si>
  <si>
    <t>US$ Red Primaria / Conexión</t>
  </si>
  <si>
    <t>US$ Red Secundaria / Conexión</t>
  </si>
  <si>
    <t>US$ Línea Primaria / km</t>
  </si>
  <si>
    <t>Número de Unidades de Alumbrado Público (AP)</t>
  </si>
  <si>
    <t>Indicadores NRECA</t>
  </si>
  <si>
    <t>INDICADORES TÉCNICOS</t>
  </si>
  <si>
    <t>Otros Intangibles</t>
  </si>
  <si>
    <t>Balance del Recurso Disponible de Energia</t>
  </si>
  <si>
    <t>BALANCE DEL RECURSO DISPONIBLE</t>
  </si>
  <si>
    <t>Otras Demandas</t>
  </si>
  <si>
    <t>Nombre</t>
  </si>
  <si>
    <t>Oferta del Recurso Disponible (kW)</t>
  </si>
  <si>
    <t xml:space="preserve">Subestacion </t>
  </si>
  <si>
    <t xml:space="preserve">P.C. Hidraulica </t>
  </si>
  <si>
    <t xml:space="preserve">Grupo térmico </t>
  </si>
  <si>
    <t>Informacion del PIP</t>
  </si>
  <si>
    <t xml:space="preserve">ITEM </t>
  </si>
  <si>
    <t>COMPONENTES</t>
  </si>
  <si>
    <t>Líneas Primarias</t>
  </si>
  <si>
    <t>Redes Primarias</t>
  </si>
  <si>
    <t>Redes Secundarias</t>
  </si>
  <si>
    <t>Subestación de Alimentación</t>
  </si>
  <si>
    <t>ALTERNATIVAS PARA ALCANZAR EL OBJETIVO CENTRAL</t>
  </si>
  <si>
    <t>DESCRIPCION DE LAS ALTERNATIVAS</t>
  </si>
  <si>
    <t>km de Línea Primaria</t>
  </si>
  <si>
    <t>km de LP 3ø</t>
  </si>
  <si>
    <t>km de LP 2ø</t>
  </si>
  <si>
    <t>km de LP 1ø-MRT</t>
  </si>
  <si>
    <t>FICHA 01</t>
  </si>
  <si>
    <t>ALTERNATIVAS</t>
  </si>
  <si>
    <t>Numero de Subestaciones</t>
  </si>
  <si>
    <t>Capacidad Total de SED (KW)</t>
  </si>
  <si>
    <t>RANGOS DE SENSIBILIDAD</t>
  </si>
  <si>
    <t>Mínimo</t>
  </si>
  <si>
    <t>Máximo</t>
  </si>
  <si>
    <t>NRECA</t>
  </si>
  <si>
    <t>TIPO DE INDICADOR DE BENEFICIOS SOCIALES</t>
  </si>
  <si>
    <t>Indicadores sociales (obtenido de campo)</t>
  </si>
  <si>
    <t>Ind. Campo</t>
  </si>
  <si>
    <t>Mano de Obra No Calificada</t>
  </si>
  <si>
    <t>IGV</t>
  </si>
  <si>
    <t>Información del PIP</t>
  </si>
  <si>
    <t>SI</t>
  </si>
  <si>
    <t>Capacidad TOTAL de la SED (kW)</t>
  </si>
  <si>
    <t>Sistema Fotovoltaico</t>
  </si>
  <si>
    <t>OFERTA DEL SERVICIO (con proyecto)</t>
  </si>
  <si>
    <t>Expediente Técnico</t>
  </si>
  <si>
    <t>Capacitación</t>
  </si>
  <si>
    <t>Reposición de las componentes del Panel</t>
  </si>
  <si>
    <t>Energía Promedio Mensual Disponible (kW.h)</t>
  </si>
  <si>
    <t>Condicion de Alumbrado Publico</t>
  </si>
  <si>
    <t>Tiempo de Reposicion de Baterias (Años)</t>
  </si>
  <si>
    <t>Tiempo de Reposicion de Controladores (Años)</t>
  </si>
  <si>
    <t>Tiempo de Reposicion de Baterias</t>
  </si>
  <si>
    <t>Módulos fotovoltaicos</t>
  </si>
  <si>
    <t>Baterías</t>
  </si>
  <si>
    <t>Controladores</t>
  </si>
  <si>
    <t>Luminarias</t>
  </si>
  <si>
    <t>Stock de reemplazos</t>
  </si>
  <si>
    <t>Tablero</t>
  </si>
  <si>
    <t>Cables y accesorios</t>
  </si>
  <si>
    <t>Mano de obra calificada</t>
  </si>
  <si>
    <t xml:space="preserve">Mano de obra no calificada </t>
  </si>
  <si>
    <t>Suministros Importados</t>
  </si>
  <si>
    <t>Suministros Nacionales</t>
  </si>
  <si>
    <t>Montaje</t>
  </si>
  <si>
    <t>ALTERNATIVA CON SISTEMA CONVENCIONAL</t>
  </si>
  <si>
    <t>ALTERNATIVA CON SISTEMA FOTOVOLTAICO</t>
  </si>
  <si>
    <t>SELECCIÓN DE ALTERNATIVAS</t>
  </si>
  <si>
    <t>Factor por Bienes Transables</t>
  </si>
  <si>
    <t>Factor por Bienes No Transables</t>
  </si>
  <si>
    <t>Factor por Mano de Obra No Calificada</t>
  </si>
  <si>
    <t>Factor por Mano de Obra Calificada</t>
  </si>
  <si>
    <t>Información Sustentada del PIP</t>
  </si>
  <si>
    <t>Puntos de Iluminación Sistema Convencional</t>
  </si>
  <si>
    <t>Consumo de energía (kW.h)</t>
  </si>
  <si>
    <t>Puntos de Iluminación Sistema Fotovoltaico</t>
  </si>
  <si>
    <t>Numero de Unidades de AP</t>
  </si>
  <si>
    <t>Alumbrado Público (AP)</t>
  </si>
  <si>
    <t>Alternativa</t>
  </si>
  <si>
    <t>Sistema Convencional</t>
  </si>
  <si>
    <t>F1</t>
  </si>
  <si>
    <t>F2</t>
  </si>
  <si>
    <t>F7</t>
  </si>
  <si>
    <t>F8</t>
  </si>
  <si>
    <t>F9</t>
  </si>
  <si>
    <t>F3-SC</t>
  </si>
  <si>
    <t>F3-SF</t>
  </si>
  <si>
    <t>F4-SC</t>
  </si>
  <si>
    <t>F4-SF</t>
  </si>
  <si>
    <t>F5-SC</t>
  </si>
  <si>
    <t>F5-SF</t>
  </si>
  <si>
    <t>ANALISIS GENERAL DE LA OFERTA DEL SERVICIO - SISTEMA CONVENCIONAL</t>
  </si>
  <si>
    <t>ANALISIS GENERAL DE LA OFERTA DEL SERVICIO - SISTEMA FOTOVOLTAICO</t>
  </si>
  <si>
    <t xml:space="preserve">BALANCE OFERTA-DEMANDA EN EL MERCADO DEL SERVICIO - SISTEMA CONVENCIONAL
</t>
  </si>
  <si>
    <t>BALANCE OFERTA-DEMANDA EN EL MERCADO DEL SERVICIO - SISTEMA CONVENCIONAL</t>
  </si>
  <si>
    <t xml:space="preserve">BALANCE OFERTA-DEMANDA EN EL MERCADO DEL SERVICIO - SISTEMA FOTOVOLTAICO
</t>
  </si>
  <si>
    <t>BALANCE OFERTA-DEMANDA EN EL MERCADO DEL SERVICIO - SISTEMA FOTOVOLTAICO</t>
  </si>
  <si>
    <t>COSTOS INCREMENTALES - SISTEMA CONVENCIONAL</t>
  </si>
  <si>
    <t>COSTOS INCREMENTALES - SISTEMA FOTOVOLTAICO</t>
  </si>
  <si>
    <t>COSTOS INCREMENTALES  - SISTEMA CONVENCIONAL</t>
  </si>
  <si>
    <t>F5A-SC</t>
  </si>
  <si>
    <t>F5A-SF</t>
  </si>
  <si>
    <t>F7A</t>
  </si>
  <si>
    <t>F6-SC</t>
  </si>
  <si>
    <t>F6-SF</t>
  </si>
  <si>
    <t>BENEFICIOS INCREMENTALES  - SISTEMA CONVENCIONAL</t>
  </si>
  <si>
    <t>BENEFICIOS INCREMENTALES - SISTEMA CONVENCIONAL</t>
  </si>
  <si>
    <t>BENEFICIOS INCREMENTALES - SISTEMA FOTOVOLTAICO</t>
  </si>
  <si>
    <t>(A Precios Privados)</t>
  </si>
  <si>
    <t>VALOR ACTUAL DE BENEFICIOS NETOS (a Precios Privados)</t>
  </si>
  <si>
    <t>(A Precios Sociales)</t>
  </si>
  <si>
    <t>VALOR ACTUAL DE BENEFICIOS NETOS (a Precios Sociales)</t>
  </si>
  <si>
    <t>Reposición de Equipos</t>
  </si>
  <si>
    <t>Baterias</t>
  </si>
  <si>
    <t>Tarifas Fija de Venta de Energia (S/.)</t>
  </si>
  <si>
    <t>Tarifas Sin Fose - OSINERGMIN</t>
  </si>
  <si>
    <t>Tarifas - OSINERGMIN</t>
  </si>
  <si>
    <t>SISTEMA FOTOVOLTAICO</t>
  </si>
  <si>
    <t>SISTEMA CONVENCIONAL</t>
  </si>
  <si>
    <t>Reposición de Equipos (S/.)</t>
  </si>
  <si>
    <t>Indicadores - Sistema Convencional</t>
  </si>
  <si>
    <t>Indicadores - Sistema Fotovoltaico</t>
  </si>
  <si>
    <t>FORMATOS</t>
  </si>
  <si>
    <t>Consumo de Energía por Abonado Domestico</t>
  </si>
  <si>
    <t>Mejor alternativa:</t>
  </si>
  <si>
    <t>APORTE POR TERCEROS (S/.)</t>
  </si>
  <si>
    <t>Documentos de Compromiso</t>
  </si>
  <si>
    <t>SOSTENIBILDIAD DEL PIP</t>
  </si>
  <si>
    <t>Vida util del equipo</t>
  </si>
  <si>
    <t>BCR</t>
  </si>
  <si>
    <t>Parametro del SNIP</t>
  </si>
  <si>
    <t>Localización del PIP</t>
  </si>
  <si>
    <t>Consumo Inicial Mensual por Abonado (kW.h/Abonado)</t>
  </si>
  <si>
    <t>Superávit</t>
  </si>
  <si>
    <t>Demanda del PIP</t>
  </si>
  <si>
    <t>Utilidades (%)</t>
  </si>
  <si>
    <t>INVERSIONES EN  SOLES (Incluye IGV)</t>
  </si>
  <si>
    <t>Otros</t>
  </si>
  <si>
    <t>Precio de Compra de Energia sin IGV</t>
  </si>
  <si>
    <t>Tarifas de Venta de Energía Activa</t>
  </si>
  <si>
    <t>BT5B Residencial sin FOSE o BT7</t>
  </si>
  <si>
    <t>Variaciones de Variable</t>
  </si>
  <si>
    <t xml:space="preserve"> (cS/kW-h)</t>
  </si>
  <si>
    <t>Tarifa Residencial (cS/kW-h)</t>
  </si>
  <si>
    <t>(cS/kW-h)</t>
  </si>
  <si>
    <t>(%)</t>
  </si>
  <si>
    <t>(kW.h - mes)</t>
  </si>
  <si>
    <t>(S/.)</t>
  </si>
  <si>
    <t>(S/. / Abonado)</t>
  </si>
  <si>
    <t>US$ Inversión (con IGV) -S. Fotovoltaico/ Conexión</t>
  </si>
  <si>
    <t>US$ Inversión (con IGV) -S. Convencional/ Conexión</t>
  </si>
  <si>
    <t>Consumo anual de AP en Sist. Convencional (kW.h)</t>
  </si>
  <si>
    <t>Consumo anual de AP en Sist. Fotovoltaico (kW.h)</t>
  </si>
  <si>
    <t>Maxima Demanda con Sist. Convencional (kW)</t>
  </si>
  <si>
    <t>Pérdidas de Energía Eléctrica (kW.h)</t>
  </si>
  <si>
    <t>TIPO DE FACTOR DE CORRECCION PARA COSTOS SOCIALES</t>
  </si>
  <si>
    <t>CARACTERISTICAS PRINCIPALES DEL MODULO FOTOVOLTAICO</t>
  </si>
  <si>
    <t>Cantidad</t>
  </si>
  <si>
    <t>Fuente</t>
  </si>
  <si>
    <t>Uso Doméstico</t>
  </si>
  <si>
    <t>Equipamiento</t>
  </si>
  <si>
    <t>Uso General y Comercial</t>
  </si>
  <si>
    <t>Inversor</t>
  </si>
  <si>
    <t>Módulo Fot. - Uso General y Comercial (Wp)</t>
  </si>
  <si>
    <t>Módulo Fot. - Uso Domestico (Wp)</t>
  </si>
  <si>
    <t>Potencia de AP</t>
  </si>
  <si>
    <t xml:space="preserve">Region </t>
  </si>
  <si>
    <t xml:space="preserve">Tipo de Módulo </t>
  </si>
  <si>
    <t xml:space="preserve">BT8-160 </t>
  </si>
  <si>
    <t xml:space="preserve">BT8-240 </t>
  </si>
  <si>
    <t xml:space="preserve">BT8-320 </t>
  </si>
  <si>
    <t>Tarifas de Venta de Energia - Uso Doméstico</t>
  </si>
  <si>
    <t>Tarifas de Venta de Energia - Uso General y Comercial</t>
  </si>
  <si>
    <t xml:space="preserve">Energía PMD (kW.h) </t>
  </si>
  <si>
    <t>Potencia</t>
  </si>
  <si>
    <t>Criterio</t>
  </si>
  <si>
    <t>Bateria</t>
  </si>
  <si>
    <t>Regulador de carga</t>
  </si>
  <si>
    <t>cantida</t>
  </si>
  <si>
    <t>Soporte</t>
  </si>
  <si>
    <t>Consumo Total de energía en Sist. Convencional (kW.h)</t>
  </si>
  <si>
    <t>Consumo Total de energía en Sist. Fotovoltaico (kW.h)</t>
  </si>
  <si>
    <t>(1) Energía promedio disponible por el módulo fotovoltaico</t>
  </si>
  <si>
    <r>
      <t>Oferta del Servicio (kW.h)</t>
    </r>
    <r>
      <rPr>
        <b/>
        <vertAlign val="superscript"/>
        <sz val="11"/>
        <color indexed="8"/>
        <rFont val="Calibri"/>
        <family val="2"/>
      </rPr>
      <t>(1)</t>
    </r>
  </si>
  <si>
    <t>Energia Disponible para uso doméstico</t>
  </si>
  <si>
    <t>Total</t>
  </si>
  <si>
    <t>Energia Disponible para uso general y comercial</t>
  </si>
  <si>
    <t>Demanda (kW.h)</t>
  </si>
  <si>
    <t>Oferta (kW.h)</t>
  </si>
  <si>
    <t>Número de Paneles</t>
  </si>
  <si>
    <t>Numero de Paneles por Abonado</t>
  </si>
  <si>
    <t>Factor de Evaluación</t>
  </si>
  <si>
    <t>Inversores</t>
  </si>
  <si>
    <t>INVERSIÓN DE EVALUACIÓN</t>
  </si>
  <si>
    <t>COSTO TOTAL INVERSION del PIP (precios privados)</t>
  </si>
  <si>
    <t>COSTO TOTAL INVERSION del PIP (precios sociales)</t>
  </si>
  <si>
    <t>Numero de Paneles para Uso Domiciliario</t>
  </si>
  <si>
    <t>Numero de Paneles para Uso General y Comercial</t>
  </si>
  <si>
    <t>Saldo</t>
  </si>
  <si>
    <t>Numero Minimo de Paneles por Abonado</t>
  </si>
  <si>
    <t>Numero Total de Paneles</t>
  </si>
  <si>
    <t>Tasa de crecimiento anual del consumo de Energia</t>
  </si>
  <si>
    <t>Cargo Fijo por Energía Promedio (cS/./kW.h)</t>
  </si>
  <si>
    <t>Inversión a precios privados</t>
  </si>
  <si>
    <t>MEJOR ALTERNATIVA:</t>
  </si>
  <si>
    <t>Oferta Total (kW.h)</t>
  </si>
  <si>
    <r>
      <t>Oferta</t>
    </r>
    <r>
      <rPr>
        <vertAlign val="superscript"/>
        <sz val="10"/>
        <rFont val="Calibri"/>
        <family val="2"/>
      </rPr>
      <t>(1)</t>
    </r>
    <r>
      <rPr>
        <sz val="10"/>
        <rFont val="Calibri"/>
        <family val="2"/>
      </rPr>
      <t xml:space="preserve"> (kW.h)</t>
    </r>
  </si>
  <si>
    <t>(1) Oferta suministrada, considerando 01 panel fotovoltaico por abonado</t>
  </si>
  <si>
    <t>Sistema Convencional y Sistema Fotovoltaico</t>
  </si>
  <si>
    <t>Estructura, Cables y accesorios</t>
  </si>
  <si>
    <t>NO</t>
  </si>
  <si>
    <t>Pomabamba</t>
  </si>
  <si>
    <t>Varios SER</t>
  </si>
  <si>
    <t>Empresa de Servicio Público de Electricidad - HIDRANDINA S.A.</t>
  </si>
  <si>
    <t>Los costos de operación y mantenimiento serán cubiertos con recursos propios</t>
  </si>
  <si>
    <t>FACTORES PARCIALES</t>
  </si>
  <si>
    <t>% Usuarios con Refrigeración</t>
  </si>
  <si>
    <t>Red Secundaria (incluye Alumb. Público y Conex. Domiciliarias)</t>
  </si>
  <si>
    <t>Supervision</t>
  </si>
  <si>
    <t>SER</t>
  </si>
  <si>
    <t xml:space="preserve">BT8-070 </t>
  </si>
  <si>
    <t xml:space="preserve">BT8-100 </t>
  </si>
</sst>
</file>

<file path=xl/styles.xml><?xml version="1.0" encoding="utf-8"?>
<styleSheet xmlns="http://schemas.openxmlformats.org/spreadsheetml/2006/main">
  <numFmts count="50">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0;&quot;S/.&quot;\-#,##0"/>
    <numFmt numFmtId="165" formatCode="&quot;S/.&quot;#,##0;[Red]&quot;S/.&quot;\-#,##0"/>
    <numFmt numFmtId="166" formatCode="&quot;S/.&quot;#,##0.00;&quot;S/.&quot;\-#,##0.00"/>
    <numFmt numFmtId="167" formatCode="&quot;S/.&quot;#,##0.00;[Red]&quot;S/.&quot;\-#,##0.00"/>
    <numFmt numFmtId="168" formatCode="_ &quot;S/.&quot;* #,##0_ ;_ &quot;S/.&quot;* \-#,##0_ ;_ &quot;S/.&quot;* &quot;-&quot;_ ;_ @_ "/>
    <numFmt numFmtId="169" formatCode="_ &quot;S/.&quot;* #,##0.00_ ;_ &quot;S/.&quot;* \-#,##0.00_ ;_ &quot;S/.&quot;* &quot;-&quot;??_ ;_ @_ "/>
    <numFmt numFmtId="170" formatCode="_(* #,##0.00_);_(* \(#,##0.00\);_(* &quot;-&quot;??_);_(@_)"/>
    <numFmt numFmtId="171" formatCode="_-* #,##0.00_-;\-* #,##0.00_-;_-* &quot;-&quot;??_-;_-@_-"/>
    <numFmt numFmtId="172" formatCode="0.0%"/>
    <numFmt numFmtId="173" formatCode="#,##0_ ;[Red]\-#,##0\ "/>
    <numFmt numFmtId="174" formatCode="0.0"/>
    <numFmt numFmtId="175" formatCode="0.0000"/>
    <numFmt numFmtId="176" formatCode="_-* #,##0.00\ _P_t_a_-;\-* #,##0.00\ _P_t_a_-;_-* &quot;-&quot;??\ _P_t_a_-;_-@_-"/>
    <numFmt numFmtId="177" formatCode="\$#.00"/>
    <numFmt numFmtId="178" formatCode="#.00"/>
    <numFmt numFmtId="179" formatCode="%#.00"/>
    <numFmt numFmtId="180" formatCode="_([$€-2]\ * #,##0.00_);_([$€-2]\ * \(#,##0.00\);_([$€-2]\ * &quot;-&quot;??_)"/>
    <numFmt numFmtId="181" formatCode="0.000"/>
    <numFmt numFmtId="182" formatCode="_-* #,##0.00\ _€_-;\-* #,##0.00\ _€_-;_-* &quot;-&quot;??\ _€_-;_-@_-"/>
    <numFmt numFmtId="183" formatCode="0.00000"/>
    <numFmt numFmtId="184" formatCode="#,##0.0"/>
    <numFmt numFmtId="185" formatCode="####.00"/>
    <numFmt numFmtId="186" formatCode="####.00%"/>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0.00\ &quot;kWh/Abonado&quot;"/>
    <numFmt numFmtId="192" formatCode="0.000000"/>
    <numFmt numFmtId="193" formatCode="_-* #,##0_-;\-* #,##0_-;_-* &quot;-&quot;_-;_-@_-"/>
    <numFmt numFmtId="194" formatCode="_-* #,##0.00\ [$€-1]_-;\-* #,##0.00\ [$€-1]_-;_-* &quot;-&quot;??\ [$€-1]_-"/>
    <numFmt numFmtId="195" formatCode="#,##0.0_);\(#,##0.0\)"/>
    <numFmt numFmtId="196" formatCode="_-* #,##0\ _F_-;\-* #,##0\ _F_-;_-* &quot;-&quot;\ _F_-;_-@_-"/>
    <numFmt numFmtId="197" formatCode="_-* #,##0.00\ _F_-;\-* #,##0.00\ _F_-;_-* &quot;-&quot;??\ _F_-;_-@_-"/>
    <numFmt numFmtId="198" formatCode="_-* #,##0\ &quot;F&quot;_-;\-* #,##0\ &quot;F&quot;_-;_-* &quot;-&quot;\ &quot;F&quot;_-;_-@_-"/>
    <numFmt numFmtId="199" formatCode="_-* #,##0.00\ &quot;F&quot;_-;\-* #,##0.00\ &quot;F&quot;_-;_-* &quot;-&quot;??\ &quot;F&quot;_-;_-@_-"/>
    <numFmt numFmtId="200" formatCode="&quot;$&quot;#,##0.00\ ;\(&quot;$&quot;#,##0.00\)"/>
    <numFmt numFmtId="201" formatCode="#,"/>
    <numFmt numFmtId="202" formatCode="&quot;S/.&quot;#,##0.00;[Red]\-&quot;S/.&quot;#,##0.00"/>
    <numFmt numFmtId="203" formatCode="0.00000000"/>
    <numFmt numFmtId="204" formatCode="0.0000000"/>
    <numFmt numFmtId="205" formatCode="#,##0.000"/>
  </numFmts>
  <fonts count="132">
    <font>
      <sz val="11"/>
      <color theme="1"/>
      <name val="Calibri"/>
      <family val="2"/>
    </font>
    <font>
      <sz val="11"/>
      <color indexed="8"/>
      <name val="Calibri"/>
      <family val="2"/>
    </font>
    <font>
      <sz val="9"/>
      <name val="Arial"/>
      <family val="2"/>
    </font>
    <font>
      <sz val="10"/>
      <name val="Arial"/>
      <family val="2"/>
    </font>
    <font>
      <sz val="10"/>
      <name val="Courier"/>
      <family val="3"/>
    </font>
    <font>
      <u val="single"/>
      <sz val="9"/>
      <color indexed="36"/>
      <name val="Courier"/>
      <family val="3"/>
    </font>
    <font>
      <sz val="1"/>
      <color indexed="8"/>
      <name val="Courier"/>
      <family val="3"/>
    </font>
    <font>
      <i/>
      <sz val="1"/>
      <color indexed="8"/>
      <name val="Courier"/>
      <family val="3"/>
    </font>
    <font>
      <b/>
      <sz val="1"/>
      <color indexed="8"/>
      <name val="Courier"/>
      <family val="3"/>
    </font>
    <font>
      <u val="single"/>
      <sz val="9"/>
      <color indexed="12"/>
      <name val="Courier"/>
      <family val="3"/>
    </font>
    <font>
      <b/>
      <sz val="9"/>
      <color indexed="8"/>
      <name val="Arial"/>
      <family val="2"/>
    </font>
    <font>
      <sz val="9"/>
      <color indexed="8"/>
      <name val="Arial"/>
      <family val="2"/>
    </font>
    <font>
      <sz val="8"/>
      <name val="Calibri"/>
      <family val="2"/>
    </font>
    <font>
      <b/>
      <sz val="9"/>
      <color indexed="8"/>
      <name val="Arial Narrow"/>
      <family val="2"/>
    </font>
    <font>
      <b/>
      <sz val="6"/>
      <color indexed="8"/>
      <name val="Arial Narrow"/>
      <family val="2"/>
    </font>
    <font>
      <b/>
      <sz val="10"/>
      <color indexed="8"/>
      <name val="Arial Narrow"/>
      <family val="2"/>
    </font>
    <font>
      <sz val="9"/>
      <color indexed="8"/>
      <name val="Arial Narrow"/>
      <family val="2"/>
    </font>
    <font>
      <b/>
      <vertAlign val="superscript"/>
      <sz val="11"/>
      <color indexed="8"/>
      <name val="Calibri"/>
      <family val="2"/>
    </font>
    <font>
      <sz val="9"/>
      <name val="Arial Narrow"/>
      <family val="2"/>
    </font>
    <font>
      <b/>
      <sz val="12"/>
      <name val="Arial"/>
      <family val="2"/>
    </font>
    <font>
      <sz val="12"/>
      <name val="Arial"/>
      <family val="2"/>
    </font>
    <font>
      <b/>
      <sz val="10"/>
      <name val="Arial"/>
      <family val="2"/>
    </font>
    <font>
      <b/>
      <sz val="10"/>
      <name val="Arial Narrow"/>
      <family val="2"/>
    </font>
    <font>
      <sz val="10"/>
      <name val="Arial Narrow"/>
      <family val="2"/>
    </font>
    <font>
      <sz val="8"/>
      <name val="Times New Roman"/>
      <family val="1"/>
    </font>
    <font>
      <sz val="10"/>
      <name val="Times New Roman"/>
      <family val="1"/>
    </font>
    <font>
      <sz val="12"/>
      <name val="BERNHARD"/>
      <family val="0"/>
    </font>
    <font>
      <sz val="10"/>
      <name val="BERNHARD"/>
      <family val="0"/>
    </font>
    <font>
      <sz val="10"/>
      <name val="Helv"/>
      <family val="0"/>
    </font>
    <font>
      <sz val="10"/>
      <name val="MS Serif"/>
      <family val="1"/>
    </font>
    <font>
      <b/>
      <sz val="18"/>
      <name val="Arial"/>
      <family val="2"/>
    </font>
    <font>
      <sz val="10"/>
      <color indexed="16"/>
      <name val="MS Serif"/>
      <family val="1"/>
    </font>
    <font>
      <b/>
      <sz val="10"/>
      <color indexed="10"/>
      <name val="Arial"/>
      <family val="2"/>
    </font>
    <font>
      <sz val="10"/>
      <name val="TIMES"/>
      <family val="0"/>
    </font>
    <font>
      <sz val="8"/>
      <name val="Arial"/>
      <family val="2"/>
    </font>
    <font>
      <sz val="12"/>
      <name val="Helv"/>
      <family val="0"/>
    </font>
    <font>
      <sz val="12"/>
      <color indexed="9"/>
      <name val="Helv"/>
      <family val="0"/>
    </font>
    <font>
      <sz val="11"/>
      <name val="‚l‚r –¾’©"/>
      <family val="0"/>
    </font>
    <font>
      <sz val="1"/>
      <color indexed="16"/>
      <name val="Courier"/>
      <family val="3"/>
    </font>
    <font>
      <sz val="10"/>
      <name val="MS Sans Serif"/>
      <family val="2"/>
    </font>
    <font>
      <sz val="1"/>
      <color indexed="8"/>
      <name val="Courier New"/>
      <family val="3"/>
    </font>
    <font>
      <sz val="8"/>
      <name val="Helv"/>
      <family val="0"/>
    </font>
    <font>
      <b/>
      <sz val="8"/>
      <color indexed="8"/>
      <name val="Helv"/>
      <family val="0"/>
    </font>
    <font>
      <b/>
      <u val="single"/>
      <sz val="11"/>
      <name val="Arial"/>
      <family val="2"/>
    </font>
    <font>
      <b/>
      <sz val="14"/>
      <color indexed="8"/>
      <name val="Calibri"/>
      <family val="2"/>
    </font>
    <font>
      <sz val="10"/>
      <name val="Calibri"/>
      <family val="2"/>
    </font>
    <font>
      <vertAlign val="superscript"/>
      <sz val="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9.25"/>
      <color indexed="12"/>
      <name val="Calibri"/>
      <family val="2"/>
    </font>
    <font>
      <u val="single"/>
      <sz val="9.25"/>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name val="Calibri"/>
      <family val="2"/>
    </font>
    <font>
      <sz val="9"/>
      <color indexed="8"/>
      <name val="Calibri"/>
      <family val="2"/>
    </font>
    <font>
      <b/>
      <sz val="9"/>
      <color indexed="8"/>
      <name val="Calibri"/>
      <family val="2"/>
    </font>
    <font>
      <b/>
      <sz val="12"/>
      <color indexed="10"/>
      <name val="Calibri"/>
      <family val="2"/>
    </font>
    <font>
      <sz val="10"/>
      <color indexed="8"/>
      <name val="Calibri"/>
      <family val="2"/>
    </font>
    <font>
      <sz val="9"/>
      <color indexed="55"/>
      <name val="Calibri"/>
      <family val="2"/>
    </font>
    <font>
      <sz val="11"/>
      <color indexed="55"/>
      <name val="Calibri"/>
      <family val="2"/>
    </font>
    <font>
      <sz val="10"/>
      <color indexed="55"/>
      <name val="Calibri"/>
      <family val="2"/>
    </font>
    <font>
      <b/>
      <sz val="11"/>
      <name val="Calibri"/>
      <family val="2"/>
    </font>
    <font>
      <b/>
      <sz val="9"/>
      <name val="Calibri"/>
      <family val="2"/>
    </font>
    <font>
      <b/>
      <sz val="12"/>
      <name val="Calibri"/>
      <family val="2"/>
    </font>
    <font>
      <sz val="11"/>
      <name val="Calibri"/>
      <family val="2"/>
    </font>
    <font>
      <b/>
      <sz val="10"/>
      <color indexed="8"/>
      <name val="Calibri"/>
      <family val="2"/>
    </font>
    <font>
      <b/>
      <sz val="10"/>
      <color indexed="10"/>
      <name val="Calibri"/>
      <family val="2"/>
    </font>
    <font>
      <b/>
      <sz val="18"/>
      <color indexed="8"/>
      <name val="Calibri"/>
      <family val="2"/>
    </font>
    <font>
      <b/>
      <sz val="14"/>
      <color indexed="30"/>
      <name val="Calibri"/>
      <family val="2"/>
    </font>
    <font>
      <b/>
      <sz val="10"/>
      <color indexed="30"/>
      <name val="Calibri"/>
      <family val="2"/>
    </font>
    <font>
      <sz val="10"/>
      <color indexed="9"/>
      <name val="Calibri"/>
      <family val="2"/>
    </font>
    <font>
      <b/>
      <sz val="11"/>
      <color indexed="10"/>
      <name val="Calibri"/>
      <family val="2"/>
    </font>
    <font>
      <sz val="8"/>
      <color indexed="10"/>
      <name val="Calibri"/>
      <family val="2"/>
    </font>
    <font>
      <b/>
      <sz val="12"/>
      <color indexed="8"/>
      <name val="Calibri"/>
      <family val="2"/>
    </font>
    <font>
      <b/>
      <sz val="10"/>
      <color indexed="8"/>
      <name val="Arial"/>
      <family val="2"/>
    </font>
    <font>
      <sz val="10"/>
      <color indexed="8"/>
      <name val="Arial"/>
      <family val="2"/>
    </font>
    <font>
      <sz val="9"/>
      <name val="Calibri"/>
      <family val="2"/>
    </font>
    <font>
      <sz val="10"/>
      <color indexed="10"/>
      <name val="Arial"/>
      <family val="2"/>
    </font>
    <font>
      <sz val="8"/>
      <color indexed="8"/>
      <name val="Arial"/>
      <family val="2"/>
    </font>
    <font>
      <sz val="8"/>
      <color indexed="8"/>
      <name val="Calibri"/>
      <family val="2"/>
    </font>
    <font>
      <b/>
      <sz val="14"/>
      <color indexed="17"/>
      <name val="Calibri"/>
      <family val="2"/>
    </font>
    <font>
      <i/>
      <sz val="11"/>
      <color indexed="8"/>
      <name val="Calibri"/>
      <family val="2"/>
    </font>
    <font>
      <b/>
      <sz val="16"/>
      <color indexed="10"/>
      <name val="Calibri"/>
      <family val="2"/>
    </font>
    <font>
      <b/>
      <sz val="8"/>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25"/>
      <color theme="10"/>
      <name val="Calibri"/>
      <family val="2"/>
    </font>
    <font>
      <u val="single"/>
      <sz val="9.25"/>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Calibri"/>
      <family val="2"/>
    </font>
    <font>
      <b/>
      <sz val="12"/>
      <color rgb="FFFF0000"/>
      <name val="Calibri"/>
      <family val="2"/>
    </font>
    <font>
      <sz val="10"/>
      <color theme="1"/>
      <name val="Calibri"/>
      <family val="2"/>
    </font>
    <font>
      <b/>
      <sz val="10"/>
      <color rgb="FFFF0000"/>
      <name val="Calibri"/>
      <family val="2"/>
    </font>
    <font>
      <b/>
      <sz val="18"/>
      <color theme="1"/>
      <name val="Calibri"/>
      <family val="2"/>
    </font>
    <font>
      <b/>
      <sz val="14"/>
      <color rgb="FF0070C0"/>
      <name val="Calibri"/>
      <family val="2"/>
    </font>
    <font>
      <b/>
      <sz val="10"/>
      <color rgb="FF0070C0"/>
      <name val="Calibri"/>
      <family val="2"/>
    </font>
    <font>
      <sz val="10"/>
      <color theme="0"/>
      <name val="Calibri"/>
      <family val="2"/>
    </font>
    <font>
      <b/>
      <sz val="11"/>
      <color rgb="FFFF0000"/>
      <name val="Calibri"/>
      <family val="2"/>
    </font>
    <font>
      <b/>
      <sz val="10"/>
      <color theme="1"/>
      <name val="Arial"/>
      <family val="2"/>
    </font>
    <font>
      <sz val="10"/>
      <color theme="1"/>
      <name val="Arial"/>
      <family val="2"/>
    </font>
    <font>
      <sz val="10"/>
      <color rgb="FFFF0000"/>
      <name val="Arial"/>
      <family val="2"/>
    </font>
    <font>
      <sz val="8"/>
      <color rgb="FF000000"/>
      <name val="Arial"/>
      <family val="2"/>
    </font>
    <font>
      <sz val="8"/>
      <color theme="1"/>
      <name val="Calibri"/>
      <family val="2"/>
    </font>
    <font>
      <b/>
      <sz val="14"/>
      <color rgb="FF00B050"/>
      <name val="Calibri"/>
      <family val="2"/>
    </font>
    <font>
      <i/>
      <sz val="11"/>
      <color theme="1"/>
      <name val="Calibri"/>
      <family val="2"/>
    </font>
    <font>
      <b/>
      <sz val="16"/>
      <color rgb="FFFF0000"/>
      <name val="Calibri"/>
      <family val="2"/>
    </font>
    <font>
      <b/>
      <sz val="12"/>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42"/>
        <bgColor indexed="64"/>
      </patternFill>
    </fill>
    <fill>
      <patternFill patternType="solid">
        <fgColor indexed="22"/>
        <bgColor indexed="64"/>
      </patternFill>
    </fill>
    <fill>
      <patternFill patternType="solid">
        <fgColor rgb="FFFFC7CE"/>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149959996342659"/>
        <bgColor indexed="64"/>
      </patternFill>
    </fill>
    <fill>
      <patternFill patternType="solid">
        <fgColor indexed="49"/>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hair"/>
      <right>
        <color indexed="63"/>
      </right>
      <top style="hair"/>
      <bottom style="hair"/>
    </border>
    <border>
      <left>
        <color indexed="63"/>
      </left>
      <right>
        <color indexed="63"/>
      </right>
      <top style="medium"/>
      <bottom style="medium"/>
    </border>
    <border>
      <left/>
      <right/>
      <top style="thin"/>
      <bottom style="thin"/>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thin"/>
      <bottom style="thin"/>
    </border>
    <border>
      <left style="thin"/>
      <right/>
      <top style="thin"/>
      <bottom style="thin"/>
    </border>
    <border>
      <left/>
      <right style="thin"/>
      <top style="thin"/>
      <bottom style="thin"/>
    </border>
    <border>
      <left style="thin"/>
      <right/>
      <top/>
      <bottom/>
    </border>
    <border>
      <left/>
      <right/>
      <top style="thin"/>
      <bottom/>
    </border>
    <border>
      <left/>
      <right style="thin"/>
      <top/>
      <bottom/>
    </border>
    <border>
      <left style="thin"/>
      <right style="thin"/>
      <top/>
      <bottom/>
    </border>
    <border>
      <left/>
      <right/>
      <top/>
      <bottom style="thin"/>
    </border>
    <border>
      <left/>
      <right style="thin"/>
      <top/>
      <bottom style="thin"/>
    </border>
    <border>
      <left style="thin"/>
      <right/>
      <top style="thin"/>
      <bottom/>
    </border>
    <border>
      <left style="thin"/>
      <right style="thin"/>
      <top style="thin"/>
      <bottom/>
    </border>
    <border>
      <left style="thin"/>
      <right/>
      <top/>
      <bottom style="thin"/>
    </border>
    <border>
      <left style="thin"/>
      <right style="thin"/>
      <top/>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right style="medium"/>
      <top style="thin"/>
      <bottom style="thin"/>
    </border>
    <border>
      <left style="medium"/>
      <right/>
      <top style="thin"/>
      <bottom/>
    </border>
    <border>
      <left style="medium"/>
      <right/>
      <top/>
      <bottom style="thin"/>
    </border>
    <border>
      <left style="medium"/>
      <right style="thin"/>
      <top style="thin"/>
      <bottom style="thin"/>
    </border>
    <border>
      <left style="thin"/>
      <right style="medium"/>
      <top style="thin"/>
      <bottom style="thin"/>
    </border>
    <border>
      <left/>
      <right style="medium"/>
      <top style="thin"/>
      <bottom/>
    </border>
    <border>
      <left>
        <color indexed="63"/>
      </left>
      <right style="medium"/>
      <top>
        <color indexed="63"/>
      </top>
      <bottom style="thin"/>
    </border>
    <border>
      <left style="medium"/>
      <right style="thin"/>
      <top style="thin"/>
      <bottom/>
    </border>
    <border>
      <left style="thin"/>
      <right style="medium"/>
      <top style="thin"/>
      <bottom/>
    </border>
    <border>
      <left style="medium"/>
      <right style="thin"/>
      <top/>
      <bottom style="thin"/>
    </border>
    <border>
      <left style="thin"/>
      <right style="medium"/>
      <top>
        <color indexed="63"/>
      </top>
      <bottom style="thin"/>
    </border>
    <border>
      <left style="medium"/>
      <right style="thin"/>
      <top/>
      <bottom/>
    </border>
    <border>
      <left/>
      <right style="thin"/>
      <top style="thin"/>
      <bottom/>
    </border>
    <border>
      <left style="medium"/>
      <right>
        <color indexed="63"/>
      </right>
      <top>
        <color indexed="63"/>
      </top>
      <bottom style="medium"/>
    </border>
    <border>
      <left>
        <color indexed="63"/>
      </left>
      <right>
        <color indexed="63"/>
      </right>
      <top>
        <color indexed="63"/>
      </top>
      <bottom style="medium"/>
    </border>
    <border>
      <left/>
      <right style="thin"/>
      <top/>
      <bottom style="medium"/>
    </border>
    <border>
      <left style="thin"/>
      <right/>
      <top/>
      <bottom style="medium"/>
    </border>
    <border>
      <left>
        <color indexed="63"/>
      </left>
      <right style="medium"/>
      <top>
        <color indexed="63"/>
      </top>
      <bottom style="medium"/>
    </border>
    <border>
      <left style="medium"/>
      <right style="thin"/>
      <top/>
      <bottom style="medium"/>
    </border>
    <border>
      <left style="thin"/>
      <right style="thin"/>
      <top/>
      <bottom style="medium"/>
    </border>
    <border>
      <left style="thin"/>
      <right style="medium"/>
      <top>
        <color indexed="63"/>
      </top>
      <bottom style="mediu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style="thin"/>
      <right style="thin"/>
      <top style="medium"/>
      <bottom style="thin"/>
    </border>
    <border>
      <left style="thin"/>
      <right style="medium"/>
      <top style="medium"/>
      <bottom style="thin"/>
    </border>
    <border>
      <left style="thin"/>
      <right style="medium"/>
      <top style="medium"/>
      <bottom style="medium"/>
    </border>
    <border>
      <left style="medium"/>
      <right>
        <color indexed="63"/>
      </right>
      <top style="medium"/>
      <bottom>
        <color indexed="63"/>
      </bottom>
    </border>
    <border>
      <left style="medium"/>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right style="medium"/>
      <top style="medium"/>
      <bottom/>
    </border>
    <border>
      <left style="medium"/>
      <right style="thin"/>
      <top style="medium"/>
      <bottom style="thin"/>
    </border>
    <border>
      <left style="thin"/>
      <right style="thin"/>
      <top style="medium"/>
      <bottom style="medium"/>
    </border>
  </borders>
  <cellStyleXfs count="17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24" fillId="0" borderId="0">
      <alignment horizontal="center" wrapText="1"/>
      <protection locked="0"/>
    </xf>
    <xf numFmtId="0" fontId="5" fillId="0" borderId="0" applyNumberFormat="0" applyFill="0" applyBorder="0" applyAlignment="0" applyProtection="0"/>
    <xf numFmtId="0" fontId="97" fillId="20" borderId="0" applyNumberFormat="0" applyBorder="0" applyAlignment="0" applyProtection="0"/>
    <xf numFmtId="0" fontId="25" fillId="0" borderId="0" applyProtection="0">
      <alignment/>
    </xf>
    <xf numFmtId="0" fontId="25" fillId="0" borderId="0" applyProtection="0">
      <alignment/>
    </xf>
    <xf numFmtId="0" fontId="25" fillId="0" borderId="0" applyProtection="0">
      <alignment/>
    </xf>
    <xf numFmtId="0" fontId="25" fillId="0" borderId="0" applyProtection="0">
      <alignment/>
    </xf>
    <xf numFmtId="0" fontId="25" fillId="0" borderId="0" applyProtection="0">
      <alignment/>
    </xf>
    <xf numFmtId="0" fontId="25" fillId="0" borderId="0" applyProtection="0">
      <alignment/>
    </xf>
    <xf numFmtId="0" fontId="25" fillId="0" borderId="0" applyProtection="0">
      <alignment/>
    </xf>
    <xf numFmtId="0" fontId="25" fillId="0" borderId="0" applyProtection="0">
      <alignment/>
    </xf>
    <xf numFmtId="0" fontId="3" fillId="0" borderId="0" applyFill="0" applyBorder="0" applyAlignment="0">
      <protection/>
    </xf>
    <xf numFmtId="0" fontId="98" fillId="21" borderId="1" applyNumberFormat="0" applyAlignment="0" applyProtection="0"/>
    <xf numFmtId="0" fontId="3" fillId="0" borderId="0">
      <alignment/>
      <protection/>
    </xf>
    <xf numFmtId="0" fontId="99" fillId="22" borderId="2" applyNumberFormat="0" applyAlignment="0" applyProtection="0"/>
    <xf numFmtId="0" fontId="100" fillId="0" borderId="3" applyNumberFormat="0" applyFill="0" applyAlignment="0" applyProtection="0"/>
    <xf numFmtId="4" fontId="6" fillId="0" borderId="0">
      <alignment/>
      <protection locked="0"/>
    </xf>
    <xf numFmtId="193" fontId="3" fillId="0" borderId="0" applyFont="0" applyFill="0" applyBorder="0" applyAlignment="0" applyProtection="0"/>
    <xf numFmtId="171" fontId="3" fillId="0" borderId="0" applyFont="0" applyFill="0" applyBorder="0" applyAlignment="0" applyProtection="0"/>
    <xf numFmtId="0" fontId="26" fillId="0" borderId="0">
      <alignment/>
      <protection/>
    </xf>
    <xf numFmtId="0" fontId="27" fillId="0" borderId="0">
      <alignment/>
      <protection/>
    </xf>
    <xf numFmtId="0" fontId="28" fillId="0" borderId="0">
      <alignment/>
      <protection/>
    </xf>
    <xf numFmtId="0" fontId="27" fillId="0" borderId="0">
      <alignment/>
      <protection/>
    </xf>
    <xf numFmtId="0" fontId="28" fillId="0" borderId="0">
      <alignment/>
      <protection/>
    </xf>
    <xf numFmtId="0" fontId="29" fillId="0" borderId="0" applyNumberFormat="0" applyAlignment="0">
      <protection/>
    </xf>
    <xf numFmtId="0" fontId="4" fillId="0" borderId="0" applyNumberFormat="0" applyAlignment="0">
      <protection/>
    </xf>
    <xf numFmtId="177" fontId="6" fillId="0" borderId="0">
      <alignment/>
      <protection locked="0"/>
    </xf>
    <xf numFmtId="0" fontId="3" fillId="0" borderId="0" applyFont="0" applyFill="0" applyBorder="0" applyAlignment="0" applyProtection="0"/>
    <xf numFmtId="0" fontId="3" fillId="0" borderId="0" applyFont="0" applyFill="0" applyBorder="0" applyAlignment="0" applyProtection="0"/>
    <xf numFmtId="0" fontId="6" fillId="0" borderId="0">
      <alignment/>
      <protection locked="0"/>
    </xf>
    <xf numFmtId="0" fontId="20" fillId="0" borderId="0" applyProtection="0">
      <alignment/>
    </xf>
    <xf numFmtId="0" fontId="30" fillId="0" borderId="0" applyProtection="0">
      <alignment/>
    </xf>
    <xf numFmtId="0" fontId="19" fillId="0" borderId="0" applyProtection="0">
      <alignment/>
    </xf>
    <xf numFmtId="0" fontId="101" fillId="0" borderId="4" applyNumberFormat="0" applyFill="0" applyAlignment="0" applyProtection="0"/>
    <xf numFmtId="0" fontId="102" fillId="0" borderId="0" applyNumberFormat="0" applyFill="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7" borderId="0" applyNumberFormat="0" applyBorder="0" applyAlignment="0" applyProtection="0"/>
    <xf numFmtId="0" fontId="96" fillId="28" borderId="0" applyNumberFormat="0" applyBorder="0" applyAlignment="0" applyProtection="0"/>
    <xf numFmtId="0" fontId="31" fillId="0" borderId="0" applyNumberFormat="0" applyAlignment="0">
      <protection/>
    </xf>
    <xf numFmtId="0" fontId="103" fillId="29" borderId="1" applyNumberFormat="0" applyAlignment="0" applyProtection="0"/>
    <xf numFmtId="0" fontId="32" fillId="30" borderId="5">
      <alignment horizontal="center"/>
      <protection/>
    </xf>
    <xf numFmtId="180"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94" fontId="3" fillId="0" borderId="0" applyFont="0" applyFill="0" applyBorder="0" applyAlignment="0" applyProtection="0"/>
    <xf numFmtId="44" fontId="3" fillId="0" borderId="0" applyFont="0" applyFill="0" applyBorder="0" applyAlignment="0" applyProtection="0"/>
    <xf numFmtId="0" fontId="6" fillId="0" borderId="0">
      <alignment/>
      <protection locked="0"/>
    </xf>
    <xf numFmtId="0" fontId="33" fillId="0" borderId="0">
      <alignment/>
      <protection/>
    </xf>
    <xf numFmtId="0" fontId="6" fillId="0" borderId="0">
      <alignment/>
      <protection locked="0"/>
    </xf>
    <xf numFmtId="0" fontId="6" fillId="0" borderId="0">
      <alignment/>
      <protection locked="0"/>
    </xf>
    <xf numFmtId="0" fontId="33" fillId="0" borderId="0">
      <alignment/>
      <protection/>
    </xf>
    <xf numFmtId="0" fontId="6" fillId="0" borderId="0">
      <alignment/>
      <protection locked="0"/>
    </xf>
    <xf numFmtId="0" fontId="7" fillId="0" borderId="0">
      <alignment/>
      <protection locked="0"/>
    </xf>
    <xf numFmtId="0" fontId="33" fillId="0" borderId="0">
      <alignment/>
      <protection/>
    </xf>
    <xf numFmtId="0" fontId="6" fillId="0" borderId="0">
      <alignment/>
      <protection locked="0"/>
    </xf>
    <xf numFmtId="0" fontId="6" fillId="0" borderId="0">
      <alignment/>
      <protection locked="0"/>
    </xf>
    <xf numFmtId="0" fontId="33" fillId="0" borderId="0">
      <alignment/>
      <protection/>
    </xf>
    <xf numFmtId="0" fontId="25" fillId="0" borderId="0" applyNumberFormat="0" applyFill="0" applyBorder="0" applyAlignment="0" applyProtection="0"/>
    <xf numFmtId="0" fontId="6" fillId="0" borderId="0">
      <alignment/>
      <protection locked="0"/>
    </xf>
    <xf numFmtId="0" fontId="33" fillId="0" borderId="0">
      <alignment/>
      <protection/>
    </xf>
    <xf numFmtId="0" fontId="6" fillId="0" borderId="0">
      <alignment/>
      <protection locked="0"/>
    </xf>
    <xf numFmtId="0" fontId="6" fillId="0" borderId="0">
      <alignment/>
      <protection locked="0"/>
    </xf>
    <xf numFmtId="0" fontId="33" fillId="0" borderId="0">
      <alignment/>
      <protection/>
    </xf>
    <xf numFmtId="0" fontId="6" fillId="0" borderId="0">
      <alignment/>
      <protection locked="0"/>
    </xf>
    <xf numFmtId="0" fontId="7" fillId="0" borderId="0">
      <alignment/>
      <protection locked="0"/>
    </xf>
    <xf numFmtId="2" fontId="20" fillId="0" borderId="0" applyProtection="0">
      <alignment/>
    </xf>
    <xf numFmtId="4" fontId="20" fillId="0" borderId="0" applyProtection="0">
      <alignment/>
    </xf>
    <xf numFmtId="178" fontId="6" fillId="0" borderId="0">
      <alignment/>
      <protection locked="0"/>
    </xf>
    <xf numFmtId="38" fontId="34" fillId="31" borderId="0" applyNumberFormat="0" applyBorder="0" applyAlignment="0" applyProtection="0"/>
    <xf numFmtId="0" fontId="19" fillId="0" borderId="6" applyNumberFormat="0" applyAlignment="0" applyProtection="0"/>
    <xf numFmtId="0" fontId="19" fillId="0" borderId="7">
      <alignment horizontal="left" vertical="center"/>
      <protection/>
    </xf>
    <xf numFmtId="0" fontId="8" fillId="0" borderId="0">
      <alignment/>
      <protection locked="0"/>
    </xf>
    <xf numFmtId="0" fontId="8" fillId="0" borderId="0">
      <alignment/>
      <protection locked="0"/>
    </xf>
    <xf numFmtId="0" fontId="104" fillId="0" borderId="0" applyNumberFormat="0" applyFill="0" applyBorder="0" applyAlignment="0" applyProtection="0"/>
    <xf numFmtId="0" fontId="105" fillId="0" borderId="0" applyNumberFormat="0" applyFill="0" applyBorder="0" applyAlignment="0" applyProtection="0"/>
    <xf numFmtId="0" fontId="9" fillId="0" borderId="0" applyNumberFormat="0" applyFill="0" applyBorder="0" applyAlignment="0" applyProtection="0"/>
    <xf numFmtId="0" fontId="106" fillId="32" borderId="0" applyNumberFormat="0" applyBorder="0" applyAlignment="0" applyProtection="0"/>
    <xf numFmtId="10" fontId="34" fillId="33" borderId="8" applyNumberFormat="0" applyBorder="0" applyAlignment="0" applyProtection="0"/>
    <xf numFmtId="195" fontId="35" fillId="34" borderId="0">
      <alignment/>
      <protection/>
    </xf>
    <xf numFmtId="195" fontId="36" fillId="35" borderId="0">
      <alignment/>
      <protection/>
    </xf>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76" fontId="3" fillId="0" borderId="0" applyFont="0" applyFill="0" applyBorder="0" applyAlignment="0" applyProtection="0"/>
    <xf numFmtId="182" fontId="3" fillId="0" borderId="0" applyFont="0" applyFill="0" applyBorder="0" applyAlignment="0" applyProtection="0"/>
    <xf numFmtId="196" fontId="3" fillId="0" borderId="0" applyFont="0" applyFill="0" applyBorder="0" applyAlignment="0" applyProtection="0"/>
    <xf numFmtId="197" fontId="3"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98" fontId="3" fillId="0" borderId="0" applyFont="0" applyFill="0" applyBorder="0" applyAlignment="0" applyProtection="0"/>
    <xf numFmtId="199" fontId="3" fillId="0" borderId="0" applyFont="0" applyFill="0" applyBorder="0" applyAlignment="0" applyProtection="0"/>
    <xf numFmtId="200" fontId="20" fillId="0" borderId="0" applyProtection="0">
      <alignment/>
    </xf>
    <xf numFmtId="0" fontId="107" fillId="36" borderId="0" applyNumberFormat="0" applyBorder="0" applyAlignment="0" applyProtection="0"/>
    <xf numFmtId="175" fontId="3" fillId="0" borderId="0">
      <alignment/>
      <protection/>
    </xf>
    <xf numFmtId="0" fontId="3" fillId="0" borderId="0">
      <alignment/>
      <protection/>
    </xf>
    <xf numFmtId="0" fontId="0" fillId="0" borderId="0">
      <alignment/>
      <protection/>
    </xf>
    <xf numFmtId="0" fontId="3" fillId="0" borderId="0" applyFill="0">
      <alignment/>
      <protection/>
    </xf>
    <xf numFmtId="0" fontId="4" fillId="0" borderId="0">
      <alignment/>
      <protection/>
    </xf>
    <xf numFmtId="0" fontId="1" fillId="37" borderId="9" applyNumberFormat="0" applyFont="0" applyAlignment="0" applyProtection="0"/>
    <xf numFmtId="40" fontId="37" fillId="0" borderId="0" applyFont="0" applyFill="0" applyBorder="0" applyAlignment="0" applyProtection="0"/>
    <xf numFmtId="38" fontId="37" fillId="0" borderId="0" applyFont="0" applyFill="0" applyBorder="0" applyAlignment="0" applyProtection="0"/>
    <xf numFmtId="14" fontId="24" fillId="0" borderId="0">
      <alignment horizontal="center" wrapText="1"/>
      <protection locked="0"/>
    </xf>
    <xf numFmtId="179" fontId="6" fillId="0" borderId="0">
      <alignment/>
      <protection locked="0"/>
    </xf>
    <xf numFmtId="10" fontId="3" fillId="0" borderId="0" applyFont="0" applyFill="0" applyBorder="0" applyAlignment="0" applyProtection="0"/>
    <xf numFmtId="201" fontId="38" fillId="0" borderId="0">
      <alignment/>
      <protection locked="0"/>
    </xf>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202" fontId="3" fillId="0" borderId="0">
      <alignment/>
      <protection/>
    </xf>
    <xf numFmtId="0" fontId="39" fillId="0" borderId="0" applyNumberFormat="0" applyFont="0" applyFill="0" applyBorder="0" applyAlignment="0" applyProtection="0"/>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40"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40" fillId="0" borderId="0">
      <alignment/>
      <protection locked="0"/>
    </xf>
    <xf numFmtId="0" fontId="6" fillId="0" borderId="0">
      <alignment/>
      <protection locked="0"/>
    </xf>
    <xf numFmtId="0" fontId="6" fillId="0" borderId="0">
      <alignment/>
      <protection locked="0"/>
    </xf>
    <xf numFmtId="165" fontId="3" fillId="0" borderId="0" applyNumberFormat="0" applyFill="0" applyBorder="0" applyAlignment="0" applyProtection="0"/>
    <xf numFmtId="38" fontId="41" fillId="0" borderId="0">
      <alignment/>
      <protection/>
    </xf>
    <xf numFmtId="0" fontId="108" fillId="21" borderId="10" applyNumberFormat="0" applyAlignment="0" applyProtection="0"/>
    <xf numFmtId="40" fontId="42" fillId="0" borderId="0" applyBorder="0">
      <alignment horizontal="right"/>
      <protection/>
    </xf>
    <xf numFmtId="0" fontId="109"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0" borderId="11" applyNumberFormat="0" applyFill="0" applyAlignment="0" applyProtection="0"/>
    <xf numFmtId="0" fontId="102" fillId="0" borderId="12" applyNumberFormat="0" applyFill="0" applyAlignment="0" applyProtection="0"/>
    <xf numFmtId="0" fontId="113" fillId="0" borderId="13" applyNumberFormat="0" applyFill="0" applyAlignment="0" applyProtection="0"/>
  </cellStyleXfs>
  <cellXfs count="909">
    <xf numFmtId="0" fontId="0" fillId="0" borderId="0" xfId="0" applyFont="1" applyAlignment="1">
      <alignment/>
    </xf>
    <xf numFmtId="0" fontId="114" fillId="0" borderId="14" xfId="0" applyFont="1" applyBorder="1" applyAlignment="1" applyProtection="1">
      <alignment horizontal="center"/>
      <protection/>
    </xf>
    <xf numFmtId="0" fontId="113" fillId="0" borderId="7" xfId="0" applyFont="1" applyBorder="1" applyAlignment="1" applyProtection="1">
      <alignment horizontal="center"/>
      <protection/>
    </xf>
    <xf numFmtId="0" fontId="113" fillId="0" borderId="15" xfId="0" applyFont="1" applyBorder="1" applyAlignment="1" applyProtection="1">
      <alignment/>
      <protection/>
    </xf>
    <xf numFmtId="0" fontId="113" fillId="0" borderId="7" xfId="0" applyFont="1" applyBorder="1" applyAlignment="1" applyProtection="1">
      <alignment/>
      <protection/>
    </xf>
    <xf numFmtId="0" fontId="113" fillId="0" borderId="16" xfId="0" applyFont="1" applyBorder="1" applyAlignment="1" applyProtection="1">
      <alignment/>
      <protection/>
    </xf>
    <xf numFmtId="0" fontId="0" fillId="0" borderId="17" xfId="0" applyFont="1" applyFill="1" applyBorder="1" applyAlignment="1" applyProtection="1">
      <alignment horizontal="left"/>
      <protection/>
    </xf>
    <xf numFmtId="0" fontId="0" fillId="0" borderId="17" xfId="0" applyFont="1" applyFill="1" applyBorder="1" applyAlignment="1" applyProtection="1">
      <alignment horizontal="left" indent="2"/>
      <protection/>
    </xf>
    <xf numFmtId="0" fontId="65" fillId="38" borderId="8" xfId="0" applyFont="1" applyFill="1" applyBorder="1" applyAlignment="1" applyProtection="1">
      <alignment horizontal="center"/>
      <protection/>
    </xf>
    <xf numFmtId="0" fontId="0" fillId="0" borderId="0" xfId="0" applyFont="1" applyAlignment="1" applyProtection="1">
      <alignment/>
      <protection/>
    </xf>
    <xf numFmtId="0" fontId="0" fillId="0" borderId="18" xfId="0" applyFont="1" applyBorder="1" applyAlignment="1" applyProtection="1">
      <alignment/>
      <protection/>
    </xf>
    <xf numFmtId="0" fontId="66" fillId="0" borderId="18" xfId="0" applyFont="1" applyBorder="1" applyAlignment="1" applyProtection="1">
      <alignment/>
      <protection/>
    </xf>
    <xf numFmtId="0" fontId="64" fillId="0" borderId="17" xfId="0" applyFont="1" applyBorder="1" applyAlignment="1" applyProtection="1">
      <alignment horizontal="left"/>
      <protection/>
    </xf>
    <xf numFmtId="0" fontId="64" fillId="0" borderId="0" xfId="0" applyFont="1" applyBorder="1" applyAlignment="1" applyProtection="1">
      <alignment/>
      <protection/>
    </xf>
    <xf numFmtId="0" fontId="67" fillId="0" borderId="0" xfId="0" applyFont="1" applyBorder="1" applyAlignment="1" applyProtection="1">
      <alignment/>
      <protection/>
    </xf>
    <xf numFmtId="0" fontId="0" fillId="0" borderId="0" xfId="0" applyFont="1" applyBorder="1" applyAlignment="1" applyProtection="1">
      <alignment/>
      <protection/>
    </xf>
    <xf numFmtId="0" fontId="66" fillId="0" borderId="0" xfId="0" applyFont="1" applyBorder="1" applyAlignment="1" applyProtection="1">
      <alignment/>
      <protection/>
    </xf>
    <xf numFmtId="0" fontId="1" fillId="0" borderId="0" xfId="0" applyFont="1" applyBorder="1" applyAlignment="1" applyProtection="1">
      <alignment/>
      <protection/>
    </xf>
    <xf numFmtId="0" fontId="64" fillId="0" borderId="8" xfId="0" applyFont="1" applyBorder="1" applyAlignment="1" applyProtection="1">
      <alignment horizontal="center"/>
      <protection/>
    </xf>
    <xf numFmtId="0" fontId="115" fillId="38" borderId="15" xfId="0" applyFont="1" applyFill="1" applyBorder="1" applyAlignment="1" applyProtection="1">
      <alignment/>
      <protection/>
    </xf>
    <xf numFmtId="0" fontId="66" fillId="38" borderId="7" xfId="0" applyFont="1" applyFill="1" applyBorder="1" applyAlignment="1" applyProtection="1">
      <alignment/>
      <protection/>
    </xf>
    <xf numFmtId="0" fontId="1" fillId="0" borderId="17" xfId="0" applyFont="1" applyBorder="1" applyAlignment="1" applyProtection="1">
      <alignment/>
      <protection/>
    </xf>
    <xf numFmtId="0" fontId="1" fillId="0" borderId="19" xfId="0" applyFont="1" applyBorder="1" applyAlignment="1" applyProtection="1">
      <alignment/>
      <protection/>
    </xf>
    <xf numFmtId="0" fontId="66" fillId="0" borderId="7" xfId="0" applyFont="1" applyBorder="1" applyAlignment="1" applyProtection="1">
      <alignment/>
      <protection/>
    </xf>
    <xf numFmtId="0" fontId="69" fillId="0" borderId="0" xfId="0" applyFont="1" applyBorder="1" applyAlignment="1" applyProtection="1">
      <alignment/>
      <protection/>
    </xf>
    <xf numFmtId="0" fontId="1" fillId="0" borderId="17" xfId="0" applyFont="1" applyFill="1" applyBorder="1" applyAlignment="1" applyProtection="1">
      <alignment/>
      <protection/>
    </xf>
    <xf numFmtId="0" fontId="1" fillId="0" borderId="0" xfId="0" applyFont="1" applyFill="1" applyBorder="1" applyAlignment="1" applyProtection="1">
      <alignment/>
      <protection/>
    </xf>
    <xf numFmtId="0" fontId="1" fillId="0" borderId="20" xfId="0" applyFont="1" applyFill="1" applyBorder="1" applyAlignment="1" applyProtection="1">
      <alignment/>
      <protection/>
    </xf>
    <xf numFmtId="0" fontId="1" fillId="0" borderId="17" xfId="0" applyFont="1" applyFill="1" applyBorder="1" applyAlignment="1" applyProtection="1">
      <alignment horizontal="left" indent="2"/>
      <protection/>
    </xf>
    <xf numFmtId="181" fontId="1" fillId="0" borderId="0" xfId="0" applyNumberFormat="1" applyFont="1" applyFill="1" applyBorder="1" applyAlignment="1" applyProtection="1">
      <alignment/>
      <protection/>
    </xf>
    <xf numFmtId="0" fontId="70" fillId="0" borderId="0" xfId="0" applyFont="1" applyBorder="1" applyAlignment="1" applyProtection="1">
      <alignment/>
      <protection/>
    </xf>
    <xf numFmtId="0" fontId="71" fillId="0" borderId="17" xfId="0" applyFont="1" applyBorder="1" applyAlignment="1" applyProtection="1">
      <alignment/>
      <protection/>
    </xf>
    <xf numFmtId="0" fontId="72" fillId="0" borderId="0" xfId="0" applyFont="1" applyBorder="1" applyAlignment="1" applyProtection="1">
      <alignment/>
      <protection/>
    </xf>
    <xf numFmtId="0" fontId="71" fillId="0" borderId="0" xfId="0" applyFont="1" applyBorder="1" applyAlignment="1" applyProtection="1">
      <alignment/>
      <protection/>
    </xf>
    <xf numFmtId="0" fontId="71" fillId="0" borderId="19" xfId="0" applyFont="1" applyBorder="1" applyAlignment="1" applyProtection="1">
      <alignment/>
      <protection/>
    </xf>
    <xf numFmtId="0" fontId="1" fillId="0" borderId="21" xfId="0" applyFont="1" applyFill="1" applyBorder="1" applyAlignment="1" applyProtection="1">
      <alignment/>
      <protection/>
    </xf>
    <xf numFmtId="0" fontId="71" fillId="0" borderId="21" xfId="0" applyFont="1" applyBorder="1" applyAlignment="1" applyProtection="1">
      <alignment/>
      <protection/>
    </xf>
    <xf numFmtId="0" fontId="1" fillId="0" borderId="21" xfId="0" applyFont="1" applyBorder="1" applyAlignment="1" applyProtection="1">
      <alignment/>
      <protection/>
    </xf>
    <xf numFmtId="0" fontId="66" fillId="0" borderId="21" xfId="0" applyFont="1" applyBorder="1" applyAlignment="1" applyProtection="1">
      <alignment/>
      <protection/>
    </xf>
    <xf numFmtId="0" fontId="66" fillId="0" borderId="22" xfId="0" applyFont="1" applyBorder="1" applyAlignment="1" applyProtection="1">
      <alignment/>
      <protection/>
    </xf>
    <xf numFmtId="0" fontId="115" fillId="38" borderId="23" xfId="0" applyFont="1" applyFill="1" applyBorder="1" applyAlignment="1" applyProtection="1">
      <alignment/>
      <protection/>
    </xf>
    <xf numFmtId="0" fontId="71" fillId="38" borderId="18" xfId="0" applyFont="1" applyFill="1" applyBorder="1" applyAlignment="1" applyProtection="1">
      <alignment/>
      <protection/>
    </xf>
    <xf numFmtId="0" fontId="70" fillId="38" borderId="18" xfId="0" applyFont="1" applyFill="1" applyBorder="1" applyAlignment="1" applyProtection="1">
      <alignment/>
      <protection/>
    </xf>
    <xf numFmtId="0" fontId="66" fillId="0" borderId="0" xfId="0" applyFont="1" applyFill="1" applyBorder="1" applyAlignment="1" applyProtection="1">
      <alignment/>
      <protection/>
    </xf>
    <xf numFmtId="0" fontId="71" fillId="0" borderId="0" xfId="0" applyFont="1" applyFill="1" applyBorder="1" applyAlignment="1" applyProtection="1">
      <alignment/>
      <protection/>
    </xf>
    <xf numFmtId="4" fontId="1" fillId="0" borderId="24" xfId="0" applyNumberFormat="1" applyFont="1" applyFill="1" applyBorder="1" applyAlignment="1" applyProtection="1">
      <alignment/>
      <protection/>
    </xf>
    <xf numFmtId="0" fontId="70" fillId="0" borderId="0" xfId="0" applyFont="1" applyFill="1" applyBorder="1" applyAlignment="1" applyProtection="1">
      <alignment/>
      <protection/>
    </xf>
    <xf numFmtId="0" fontId="1" fillId="0" borderId="25" xfId="0" applyFont="1" applyBorder="1" applyAlignment="1" applyProtection="1">
      <alignment/>
      <protection/>
    </xf>
    <xf numFmtId="0" fontId="69" fillId="0" borderId="21" xfId="0" applyFont="1" applyBorder="1" applyAlignment="1" applyProtection="1">
      <alignment/>
      <protection/>
    </xf>
    <xf numFmtId="0" fontId="0" fillId="0" borderId="25" xfId="0" applyFont="1" applyFill="1" applyBorder="1" applyAlignment="1" applyProtection="1">
      <alignment horizontal="left"/>
      <protection/>
    </xf>
    <xf numFmtId="0" fontId="71" fillId="0" borderId="21" xfId="0" applyFont="1" applyFill="1" applyBorder="1" applyAlignment="1" applyProtection="1">
      <alignment/>
      <protection/>
    </xf>
    <xf numFmtId="0" fontId="66" fillId="0" borderId="21" xfId="0" applyFont="1" applyFill="1" applyBorder="1" applyAlignment="1" applyProtection="1">
      <alignment/>
      <protection/>
    </xf>
    <xf numFmtId="4" fontId="69" fillId="0" borderId="0" xfId="146" applyNumberFormat="1" applyFont="1" applyBorder="1" applyAlignment="1" applyProtection="1">
      <alignment/>
      <protection/>
    </xf>
    <xf numFmtId="172" fontId="66" fillId="0" borderId="0" xfId="144" applyNumberFormat="1" applyFont="1" applyBorder="1" applyAlignment="1" applyProtection="1">
      <alignment/>
      <protection/>
    </xf>
    <xf numFmtId="172" fontId="64" fillId="0" borderId="0" xfId="144" applyNumberFormat="1" applyFont="1" applyBorder="1" applyAlignment="1" applyProtection="1">
      <alignment/>
      <protection/>
    </xf>
    <xf numFmtId="0" fontId="73" fillId="38" borderId="8" xfId="0" applyFont="1" applyFill="1" applyBorder="1" applyAlignment="1" applyProtection="1">
      <alignment horizontal="center"/>
      <protection/>
    </xf>
    <xf numFmtId="0" fontId="74" fillId="38" borderId="8" xfId="0" applyFont="1" applyFill="1" applyBorder="1" applyAlignment="1" applyProtection="1">
      <alignment horizontal="center"/>
      <protection/>
    </xf>
    <xf numFmtId="3" fontId="66" fillId="0" borderId="24" xfId="0" applyNumberFormat="1" applyFont="1" applyBorder="1" applyAlignment="1" applyProtection="1">
      <alignment vertical="center" wrapText="1"/>
      <protection/>
    </xf>
    <xf numFmtId="3" fontId="66" fillId="0" borderId="26" xfId="0" applyNumberFormat="1" applyFont="1" applyBorder="1" applyAlignment="1" applyProtection="1">
      <alignment vertical="center" wrapText="1"/>
      <protection/>
    </xf>
    <xf numFmtId="10" fontId="66" fillId="0" borderId="8" xfId="144" applyNumberFormat="1" applyFont="1" applyBorder="1" applyAlignment="1" applyProtection="1">
      <alignment vertical="center" wrapText="1"/>
      <protection/>
    </xf>
    <xf numFmtId="3" fontId="66" fillId="0" borderId="8" xfId="0" applyNumberFormat="1" applyFont="1" applyBorder="1" applyAlignment="1" applyProtection="1">
      <alignment vertical="center" wrapText="1"/>
      <protection/>
    </xf>
    <xf numFmtId="3" fontId="66" fillId="0" borderId="20" xfId="0" applyNumberFormat="1" applyFont="1" applyBorder="1" applyAlignment="1" applyProtection="1">
      <alignment vertical="center" wrapText="1"/>
      <protection/>
    </xf>
    <xf numFmtId="0" fontId="66" fillId="0" borderId="20" xfId="0" applyFont="1" applyBorder="1" applyAlignment="1" applyProtection="1">
      <alignment wrapText="1"/>
      <protection/>
    </xf>
    <xf numFmtId="0" fontId="0" fillId="0" borderId="0" xfId="0" applyFont="1" applyAlignment="1" applyProtection="1">
      <alignment wrapText="1"/>
      <protection/>
    </xf>
    <xf numFmtId="3" fontId="67" fillId="0" borderId="8" xfId="0" applyNumberFormat="1" applyFont="1" applyBorder="1" applyAlignment="1" applyProtection="1">
      <alignment wrapText="1"/>
      <protection/>
    </xf>
    <xf numFmtId="172" fontId="1" fillId="0" borderId="0" xfId="144" applyNumberFormat="1" applyFont="1" applyAlignment="1" applyProtection="1">
      <alignment/>
      <protection/>
    </xf>
    <xf numFmtId="0" fontId="66" fillId="0" borderId="0" xfId="0" applyFont="1" applyAlignment="1" applyProtection="1">
      <alignment/>
      <protection/>
    </xf>
    <xf numFmtId="174" fontId="66" fillId="0" borderId="0" xfId="0" applyNumberFormat="1" applyFont="1" applyAlignment="1" applyProtection="1">
      <alignment/>
      <protection/>
    </xf>
    <xf numFmtId="0" fontId="0" fillId="0" borderId="15" xfId="0" applyFont="1" applyFill="1" applyBorder="1" applyAlignment="1" applyProtection="1">
      <alignment/>
      <protection/>
    </xf>
    <xf numFmtId="172" fontId="66" fillId="0" borderId="16" xfId="144" applyNumberFormat="1" applyFont="1" applyFill="1" applyBorder="1" applyAlignment="1" applyProtection="1">
      <alignment/>
      <protection/>
    </xf>
    <xf numFmtId="172" fontId="66" fillId="0" borderId="0" xfId="144" applyNumberFormat="1" applyFont="1" applyAlignment="1" applyProtection="1">
      <alignment/>
      <protection/>
    </xf>
    <xf numFmtId="0" fontId="66" fillId="0" borderId="16" xfId="144" applyNumberFormat="1" applyFont="1" applyFill="1" applyBorder="1" applyAlignment="1" applyProtection="1">
      <alignment/>
      <protection/>
    </xf>
    <xf numFmtId="9" fontId="2" fillId="0" borderId="20" xfId="136" applyNumberFormat="1" applyFont="1" applyFill="1" applyBorder="1" applyAlignment="1" applyProtection="1">
      <alignment horizontal="center" vertical="center"/>
      <protection/>
    </xf>
    <xf numFmtId="3" fontId="2" fillId="0" borderId="20" xfId="136" applyNumberFormat="1" applyFont="1" applyFill="1" applyBorder="1" applyAlignment="1" applyProtection="1">
      <alignment horizontal="center" vertical="center"/>
      <protection/>
    </xf>
    <xf numFmtId="0" fontId="11" fillId="0" borderId="27" xfId="136" applyFont="1" applyFill="1" applyBorder="1" applyAlignment="1" applyProtection="1">
      <alignment horizontal="left" vertical="center"/>
      <protection/>
    </xf>
    <xf numFmtId="9" fontId="2" fillId="0" borderId="28" xfId="136" applyNumberFormat="1" applyFont="1" applyFill="1" applyBorder="1" applyAlignment="1" applyProtection="1">
      <alignment horizontal="center" vertical="center"/>
      <protection/>
    </xf>
    <xf numFmtId="3" fontId="2" fillId="0" borderId="29" xfId="136" applyNumberFormat="1" applyFont="1" applyFill="1" applyBorder="1" applyAlignment="1" applyProtection="1">
      <alignment horizontal="center" vertical="center"/>
      <protection/>
    </xf>
    <xf numFmtId="0" fontId="73" fillId="38" borderId="26" xfId="0" applyFont="1" applyFill="1" applyBorder="1" applyAlignment="1" applyProtection="1">
      <alignment horizontal="center"/>
      <protection/>
    </xf>
    <xf numFmtId="0" fontId="74" fillId="38" borderId="26" xfId="0" applyFont="1" applyFill="1" applyBorder="1" applyAlignment="1" applyProtection="1">
      <alignment horizontal="center"/>
      <protection/>
    </xf>
    <xf numFmtId="0" fontId="1" fillId="0" borderId="19" xfId="0" applyFont="1" applyFill="1" applyBorder="1" applyAlignment="1" applyProtection="1">
      <alignment/>
      <protection/>
    </xf>
    <xf numFmtId="0" fontId="1" fillId="0" borderId="22" xfId="0" applyFont="1" applyFill="1" applyBorder="1" applyAlignment="1" applyProtection="1">
      <alignment/>
      <protection/>
    </xf>
    <xf numFmtId="172" fontId="69" fillId="0" borderId="20" xfId="144" applyNumberFormat="1" applyFont="1" applyFill="1" applyBorder="1" applyAlignment="1" applyProtection="1">
      <alignment horizontal="center"/>
      <protection/>
    </xf>
    <xf numFmtId="172" fontId="69" fillId="0" borderId="20" xfId="0" applyNumberFormat="1" applyFont="1" applyFill="1" applyBorder="1" applyAlignment="1" applyProtection="1">
      <alignment horizontal="center"/>
      <protection/>
    </xf>
    <xf numFmtId="0" fontId="69" fillId="0" borderId="20" xfId="0" applyNumberFormat="1" applyFont="1" applyFill="1" applyBorder="1" applyAlignment="1" applyProtection="1">
      <alignment horizontal="center"/>
      <protection/>
    </xf>
    <xf numFmtId="0" fontId="66" fillId="0" borderId="20" xfId="0" applyFont="1" applyFill="1" applyBorder="1" applyAlignment="1" applyProtection="1">
      <alignment horizontal="center"/>
      <protection/>
    </xf>
    <xf numFmtId="174" fontId="69" fillId="0" borderId="20" xfId="144" applyNumberFormat="1" applyFont="1" applyFill="1" applyBorder="1" applyAlignment="1" applyProtection="1">
      <alignment horizontal="center"/>
      <protection/>
    </xf>
    <xf numFmtId="1" fontId="69" fillId="0" borderId="20" xfId="144" applyNumberFormat="1" applyFont="1" applyFill="1" applyBorder="1" applyAlignment="1" applyProtection="1">
      <alignment horizontal="center"/>
      <protection/>
    </xf>
    <xf numFmtId="1" fontId="0" fillId="0" borderId="20" xfId="0" applyNumberFormat="1" applyFont="1" applyFill="1" applyBorder="1" applyAlignment="1" applyProtection="1">
      <alignment horizontal="center"/>
      <protection/>
    </xf>
    <xf numFmtId="10" fontId="69" fillId="0" borderId="20" xfId="146" applyNumberFormat="1" applyFont="1" applyFill="1" applyBorder="1" applyAlignment="1" applyProtection="1">
      <alignment horizontal="center"/>
      <protection/>
    </xf>
    <xf numFmtId="10" fontId="69" fillId="0" borderId="20" xfId="144" applyNumberFormat="1" applyFont="1" applyFill="1" applyBorder="1" applyAlignment="1" applyProtection="1">
      <alignment horizontal="center"/>
      <protection/>
    </xf>
    <xf numFmtId="172" fontId="69" fillId="0" borderId="20" xfId="146" applyNumberFormat="1" applyFont="1" applyFill="1" applyBorder="1" applyAlignment="1" applyProtection="1">
      <alignment horizontal="center"/>
      <protection/>
    </xf>
    <xf numFmtId="184" fontId="69" fillId="0" borderId="20" xfId="146" applyNumberFormat="1" applyFont="1" applyFill="1" applyBorder="1" applyAlignment="1" applyProtection="1">
      <alignment horizontal="center"/>
      <protection/>
    </xf>
    <xf numFmtId="4" fontId="69" fillId="0" borderId="26" xfId="146" applyNumberFormat="1" applyFont="1" applyFill="1" applyBorder="1" applyAlignment="1" applyProtection="1">
      <alignment horizontal="center"/>
      <protection/>
    </xf>
    <xf numFmtId="1" fontId="1" fillId="0" borderId="20" xfId="0" applyNumberFormat="1" applyFont="1" applyFill="1" applyBorder="1" applyAlignment="1" applyProtection="1">
      <alignment/>
      <protection/>
    </xf>
    <xf numFmtId="0" fontId="64" fillId="0" borderId="25" xfId="0" applyFont="1" applyFill="1" applyBorder="1" applyAlignment="1" applyProtection="1">
      <alignment/>
      <protection/>
    </xf>
    <xf numFmtId="0" fontId="64" fillId="0" borderId="21" xfId="0" applyFont="1" applyFill="1" applyBorder="1" applyAlignment="1" applyProtection="1">
      <alignment/>
      <protection/>
    </xf>
    <xf numFmtId="1" fontId="64" fillId="0" borderId="26" xfId="0" applyNumberFormat="1" applyFont="1" applyFill="1" applyBorder="1" applyAlignment="1" applyProtection="1">
      <alignment/>
      <protection/>
    </xf>
    <xf numFmtId="4" fontId="1" fillId="0" borderId="20" xfId="0" applyNumberFormat="1" applyFont="1" applyFill="1" applyBorder="1" applyAlignment="1" applyProtection="1">
      <alignment/>
      <protection/>
    </xf>
    <xf numFmtId="4" fontId="1" fillId="0" borderId="26" xfId="0" applyNumberFormat="1" applyFont="1" applyFill="1" applyBorder="1" applyAlignment="1" applyProtection="1">
      <alignment/>
      <protection/>
    </xf>
    <xf numFmtId="0" fontId="0" fillId="0" borderId="15" xfId="0" applyFill="1" applyBorder="1" applyAlignment="1" applyProtection="1">
      <alignment/>
      <protection/>
    </xf>
    <xf numFmtId="0" fontId="1" fillId="0" borderId="0" xfId="0" applyFont="1" applyAlignment="1" applyProtection="1">
      <alignment wrapText="1"/>
      <protection/>
    </xf>
    <xf numFmtId="3" fontId="67" fillId="0" borderId="8" xfId="0" applyNumberFormat="1" applyFont="1" applyFill="1" applyBorder="1" applyAlignment="1" applyProtection="1">
      <alignment horizontal="center" wrapText="1"/>
      <protection/>
    </xf>
    <xf numFmtId="0" fontId="66" fillId="0" borderId="7" xfId="0" applyFont="1" applyFill="1" applyBorder="1" applyAlignment="1" applyProtection="1">
      <alignment/>
      <protection/>
    </xf>
    <xf numFmtId="0" fontId="64" fillId="38" borderId="8" xfId="0" applyFont="1" applyFill="1" applyBorder="1" applyAlignment="1" applyProtection="1">
      <alignment horizontal="center"/>
      <protection/>
    </xf>
    <xf numFmtId="0" fontId="64" fillId="0" borderId="7" xfId="0" applyFont="1" applyFill="1" applyBorder="1" applyAlignment="1" applyProtection="1">
      <alignment horizontal="center"/>
      <protection/>
    </xf>
    <xf numFmtId="0" fontId="113" fillId="38" borderId="14" xfId="0" applyFont="1" applyFill="1" applyBorder="1" applyAlignment="1" applyProtection="1">
      <alignment horizontal="center"/>
      <protection/>
    </xf>
    <xf numFmtId="0" fontId="75" fillId="0" borderId="14" xfId="0" applyFont="1" applyFill="1" applyBorder="1" applyAlignment="1" applyProtection="1">
      <alignment/>
      <protection/>
    </xf>
    <xf numFmtId="0" fontId="66" fillId="0" borderId="30" xfId="0" applyFont="1" applyFill="1" applyBorder="1" applyAlignment="1" applyProtection="1">
      <alignment/>
      <protection/>
    </xf>
    <xf numFmtId="0" fontId="0" fillId="0" borderId="31" xfId="0" applyBorder="1" applyAlignment="1" applyProtection="1">
      <alignment/>
      <protection/>
    </xf>
    <xf numFmtId="0" fontId="0" fillId="0" borderId="14" xfId="0" applyBorder="1" applyAlignment="1" applyProtection="1">
      <alignment/>
      <protection/>
    </xf>
    <xf numFmtId="0" fontId="113" fillId="0" borderId="14" xfId="0" applyFont="1" applyFill="1" applyBorder="1" applyAlignment="1" applyProtection="1">
      <alignment horizontal="center"/>
      <protection/>
    </xf>
    <xf numFmtId="0" fontId="113" fillId="0" borderId="30" xfId="0" applyFont="1" applyFill="1" applyBorder="1" applyAlignment="1" applyProtection="1">
      <alignment/>
      <protection/>
    </xf>
    <xf numFmtId="0" fontId="0" fillId="0" borderId="32" xfId="0" applyBorder="1" applyAlignment="1" applyProtection="1">
      <alignment/>
      <protection/>
    </xf>
    <xf numFmtId="0" fontId="0" fillId="0" borderId="33" xfId="0" applyBorder="1" applyAlignment="1" applyProtection="1">
      <alignment/>
      <protection/>
    </xf>
    <xf numFmtId="0" fontId="65" fillId="38" borderId="34" xfId="0" applyFont="1" applyFill="1" applyBorder="1" applyAlignment="1" applyProtection="1">
      <alignment horizontal="center"/>
      <protection/>
    </xf>
    <xf numFmtId="0" fontId="73" fillId="0" borderId="25" xfId="0" applyFont="1" applyFill="1" applyBorder="1" applyAlignment="1" applyProtection="1">
      <alignment horizontal="left"/>
      <protection/>
    </xf>
    <xf numFmtId="3" fontId="67" fillId="0" borderId="26" xfId="0" applyNumberFormat="1" applyFont="1" applyBorder="1" applyAlignment="1" applyProtection="1">
      <alignment wrapText="1"/>
      <protection/>
    </xf>
    <xf numFmtId="0" fontId="0" fillId="0" borderId="31" xfId="0" applyFont="1" applyBorder="1" applyAlignment="1" applyProtection="1">
      <alignment/>
      <protection/>
    </xf>
    <xf numFmtId="0" fontId="66" fillId="0" borderId="35" xfId="0" applyFont="1" applyBorder="1" applyAlignment="1" applyProtection="1">
      <alignment/>
      <protection/>
    </xf>
    <xf numFmtId="0" fontId="64" fillId="0" borderId="27" xfId="0" applyFont="1" applyBorder="1" applyAlignment="1" applyProtection="1">
      <alignment horizontal="left"/>
      <protection/>
    </xf>
    <xf numFmtId="0" fontId="64" fillId="0" borderId="28" xfId="0" applyFont="1" applyBorder="1" applyAlignment="1" applyProtection="1">
      <alignment/>
      <protection/>
    </xf>
    <xf numFmtId="0" fontId="0" fillId="0" borderId="27" xfId="0" applyFont="1" applyBorder="1" applyAlignment="1" applyProtection="1">
      <alignment/>
      <protection/>
    </xf>
    <xf numFmtId="0" fontId="66" fillId="0" borderId="28" xfId="0" applyFont="1" applyBorder="1" applyAlignment="1" applyProtection="1">
      <alignment/>
      <protection/>
    </xf>
    <xf numFmtId="0" fontId="113" fillId="0" borderId="14" xfId="0" applyFont="1" applyBorder="1" applyAlignment="1" applyProtection="1">
      <alignment horizontal="center"/>
      <protection/>
    </xf>
    <xf numFmtId="0" fontId="66" fillId="38" borderId="30" xfId="0" applyFont="1" applyFill="1" applyBorder="1" applyAlignment="1" applyProtection="1">
      <alignment/>
      <protection/>
    </xf>
    <xf numFmtId="0" fontId="113" fillId="0" borderId="30" xfId="0" applyFont="1" applyBorder="1" applyAlignment="1" applyProtection="1">
      <alignment/>
      <protection/>
    </xf>
    <xf numFmtId="0" fontId="0" fillId="0" borderId="27" xfId="0" applyBorder="1" applyAlignment="1" applyProtection="1">
      <alignment/>
      <protection/>
    </xf>
    <xf numFmtId="0" fontId="0" fillId="0" borderId="27" xfId="0" applyFont="1" applyBorder="1" applyAlignment="1" applyProtection="1">
      <alignment horizontal="left"/>
      <protection/>
    </xf>
    <xf numFmtId="0" fontId="66" fillId="0" borderId="36" xfId="0" applyFont="1" applyBorder="1" applyAlignment="1" applyProtection="1">
      <alignment/>
      <protection/>
    </xf>
    <xf numFmtId="0" fontId="76" fillId="0" borderId="27" xfId="0" applyFont="1" applyBorder="1" applyAlignment="1" applyProtection="1">
      <alignment horizontal="left"/>
      <protection/>
    </xf>
    <xf numFmtId="0" fontId="71" fillId="0" borderId="28" xfId="0" applyFont="1" applyBorder="1" applyAlignment="1" applyProtection="1">
      <alignment/>
      <protection/>
    </xf>
    <xf numFmtId="0" fontId="71" fillId="38" borderId="35" xfId="0" applyFont="1" applyFill="1" applyBorder="1" applyAlignment="1" applyProtection="1">
      <alignment/>
      <protection/>
    </xf>
    <xf numFmtId="0" fontId="0" fillId="0" borderId="27" xfId="0" applyFont="1" applyFill="1" applyBorder="1" applyAlignment="1" applyProtection="1">
      <alignment horizontal="left"/>
      <protection/>
    </xf>
    <xf numFmtId="0" fontId="0" fillId="0" borderId="28" xfId="0" applyFont="1" applyBorder="1" applyAlignment="1" applyProtection="1">
      <alignment/>
      <protection/>
    </xf>
    <xf numFmtId="0" fontId="0" fillId="0" borderId="32" xfId="0" applyFont="1" applyBorder="1" applyAlignment="1" applyProtection="1">
      <alignment horizontal="left"/>
      <protection/>
    </xf>
    <xf numFmtId="0" fontId="0" fillId="0" borderId="36" xfId="0" applyFont="1" applyBorder="1" applyAlignment="1" applyProtection="1">
      <alignment/>
      <protection/>
    </xf>
    <xf numFmtId="0" fontId="67" fillId="0" borderId="28" xfId="0" applyFont="1" applyBorder="1" applyAlignment="1" applyProtection="1">
      <alignment/>
      <protection/>
    </xf>
    <xf numFmtId="0" fontId="0" fillId="0" borderId="32" xfId="0" applyFont="1" applyBorder="1" applyAlignment="1" applyProtection="1">
      <alignment/>
      <protection/>
    </xf>
    <xf numFmtId="0" fontId="74" fillId="38" borderId="34" xfId="0" applyFont="1" applyFill="1" applyBorder="1" applyAlignment="1" applyProtection="1">
      <alignment horizontal="center"/>
      <protection/>
    </xf>
    <xf numFmtId="0" fontId="0" fillId="0" borderId="37" xfId="0" applyBorder="1" applyAlignment="1" applyProtection="1">
      <alignment vertical="center" wrapText="1"/>
      <protection/>
    </xf>
    <xf numFmtId="3" fontId="66" fillId="0" borderId="38" xfId="0" applyNumberFormat="1" applyFont="1" applyBorder="1" applyAlignment="1" applyProtection="1">
      <alignment vertical="center" wrapText="1"/>
      <protection/>
    </xf>
    <xf numFmtId="0" fontId="0" fillId="0" borderId="39" xfId="0" applyBorder="1" applyAlignment="1" applyProtection="1">
      <alignment vertical="center" wrapText="1"/>
      <protection/>
    </xf>
    <xf numFmtId="3" fontId="66" fillId="0" borderId="40" xfId="0" applyNumberFormat="1" applyFont="1" applyBorder="1" applyAlignment="1" applyProtection="1">
      <alignment vertical="center" wrapText="1"/>
      <protection/>
    </xf>
    <xf numFmtId="0" fontId="0" fillId="0" borderId="33" xfId="0" applyFont="1" applyBorder="1" applyAlignment="1" applyProtection="1">
      <alignment vertical="center" wrapText="1"/>
      <protection/>
    </xf>
    <xf numFmtId="10" fontId="66" fillId="0" borderId="34" xfId="144" applyNumberFormat="1" applyFont="1" applyBorder="1" applyAlignment="1" applyProtection="1">
      <alignment vertical="center" wrapText="1"/>
      <protection/>
    </xf>
    <xf numFmtId="3" fontId="66" fillId="0" borderId="34" xfId="0" applyNumberFormat="1" applyFont="1" applyBorder="1" applyAlignment="1" applyProtection="1">
      <alignment vertical="center" wrapText="1"/>
      <protection/>
    </xf>
    <xf numFmtId="0" fontId="0" fillId="0" borderId="37" xfId="0" applyFont="1" applyBorder="1" applyAlignment="1" applyProtection="1">
      <alignment vertical="center" wrapText="1"/>
      <protection/>
    </xf>
    <xf numFmtId="0" fontId="0" fillId="0" borderId="41" xfId="0" applyFont="1" applyBorder="1" applyAlignment="1" applyProtection="1">
      <alignment vertical="center" wrapText="1"/>
      <protection/>
    </xf>
    <xf numFmtId="3" fontId="66" fillId="0" borderId="29" xfId="0" applyNumberFormat="1" applyFont="1" applyBorder="1" applyAlignment="1" applyProtection="1">
      <alignment vertical="center" wrapText="1"/>
      <protection/>
    </xf>
    <xf numFmtId="0" fontId="0" fillId="0" borderId="41" xfId="0" applyFont="1" applyBorder="1" applyAlignment="1" applyProtection="1">
      <alignment wrapText="1"/>
      <protection/>
    </xf>
    <xf numFmtId="0" fontId="66" fillId="0" borderId="29" xfId="0" applyFont="1" applyBorder="1" applyAlignment="1" applyProtection="1">
      <alignment wrapText="1"/>
      <protection/>
    </xf>
    <xf numFmtId="0" fontId="0" fillId="0" borderId="39" xfId="0" applyFont="1" applyBorder="1" applyAlignment="1" applyProtection="1">
      <alignment wrapText="1"/>
      <protection/>
    </xf>
    <xf numFmtId="0" fontId="64" fillId="0" borderId="33" xfId="0" applyFont="1" applyBorder="1" applyAlignment="1" applyProtection="1">
      <alignment wrapText="1"/>
      <protection/>
    </xf>
    <xf numFmtId="3" fontId="67" fillId="0" borderId="34" xfId="0" applyNumberFormat="1" applyFont="1" applyBorder="1" applyAlignment="1" applyProtection="1">
      <alignment wrapText="1"/>
      <protection/>
    </xf>
    <xf numFmtId="0" fontId="1" fillId="0" borderId="33" xfId="0" applyFont="1" applyBorder="1" applyAlignment="1" applyProtection="1">
      <alignment wrapText="1"/>
      <protection/>
    </xf>
    <xf numFmtId="0" fontId="0" fillId="0" borderId="33" xfId="0" applyFont="1" applyBorder="1" applyAlignment="1" applyProtection="1">
      <alignment wrapText="1"/>
      <protection/>
    </xf>
    <xf numFmtId="3" fontId="67" fillId="0" borderId="34" xfId="0" applyNumberFormat="1" applyFont="1" applyFill="1" applyBorder="1" applyAlignment="1" applyProtection="1">
      <alignment horizontal="center" wrapText="1"/>
      <protection/>
    </xf>
    <xf numFmtId="0" fontId="74" fillId="38" borderId="40" xfId="0" applyFont="1" applyFill="1" applyBorder="1" applyAlignment="1" applyProtection="1">
      <alignment horizontal="center"/>
      <protection/>
    </xf>
    <xf numFmtId="0" fontId="116" fillId="0" borderId="17" xfId="0" applyFont="1" applyBorder="1" applyAlignment="1" applyProtection="1">
      <alignment horizontal="left"/>
      <protection/>
    </xf>
    <xf numFmtId="0" fontId="116" fillId="0" borderId="25" xfId="0" applyFont="1" applyBorder="1" applyAlignment="1" applyProtection="1">
      <alignment/>
      <protection/>
    </xf>
    <xf numFmtId="181" fontId="69" fillId="0" borderId="19" xfId="0" applyNumberFormat="1" applyFont="1" applyFill="1" applyBorder="1" applyAlignment="1" applyProtection="1">
      <alignment/>
      <protection/>
    </xf>
    <xf numFmtId="0" fontId="116" fillId="0" borderId="23" xfId="0" applyFont="1" applyBorder="1" applyAlignment="1" applyProtection="1">
      <alignment horizontal="left"/>
      <protection/>
    </xf>
    <xf numFmtId="0" fontId="116" fillId="0" borderId="23" xfId="0" applyFont="1" applyFill="1" applyBorder="1" applyAlignment="1" applyProtection="1">
      <alignment horizontal="left"/>
      <protection/>
    </xf>
    <xf numFmtId="181" fontId="69" fillId="0" borderId="42" xfId="0" applyNumberFormat="1" applyFont="1" applyFill="1" applyBorder="1" applyAlignment="1" applyProtection="1">
      <alignment/>
      <protection/>
    </xf>
    <xf numFmtId="0" fontId="116" fillId="0" borderId="17" xfId="0" applyFont="1" applyFill="1" applyBorder="1" applyAlignment="1" applyProtection="1">
      <alignment horizontal="left"/>
      <protection/>
    </xf>
    <xf numFmtId="0" fontId="116" fillId="0" borderId="25" xfId="0" applyFont="1" applyFill="1" applyBorder="1" applyAlignment="1" applyProtection="1">
      <alignment horizontal="left"/>
      <protection/>
    </xf>
    <xf numFmtId="181" fontId="69" fillId="0" borderId="22" xfId="0" applyNumberFormat="1" applyFont="1" applyFill="1" applyBorder="1" applyAlignment="1" applyProtection="1">
      <alignment/>
      <protection/>
    </xf>
    <xf numFmtId="0" fontId="114" fillId="0" borderId="15" xfId="0" applyFont="1" applyBorder="1" applyAlignment="1" applyProtection="1">
      <alignment horizontal="left"/>
      <protection/>
    </xf>
    <xf numFmtId="0" fontId="114" fillId="0" borderId="7" xfId="0" applyFont="1" applyBorder="1" applyAlignment="1" applyProtection="1">
      <alignment horizontal="left"/>
      <protection/>
    </xf>
    <xf numFmtId="0" fontId="116" fillId="0" borderId="21" xfId="0" applyFont="1" applyBorder="1" applyAlignment="1" applyProtection="1">
      <alignment/>
      <protection/>
    </xf>
    <xf numFmtId="0" fontId="116" fillId="0" borderId="0" xfId="0" applyFont="1" applyBorder="1" applyAlignment="1" applyProtection="1">
      <alignment/>
      <protection/>
    </xf>
    <xf numFmtId="0" fontId="69" fillId="0" borderId="18" xfId="0" applyFont="1" applyFill="1" applyBorder="1" applyAlignment="1" applyProtection="1">
      <alignment horizontal="left"/>
      <protection/>
    </xf>
    <xf numFmtId="0" fontId="69" fillId="0" borderId="0" xfId="0" applyFont="1" applyFill="1" applyBorder="1" applyAlignment="1" applyProtection="1">
      <alignment horizontal="left"/>
      <protection/>
    </xf>
    <xf numFmtId="0" fontId="69" fillId="0" borderId="0" xfId="0" applyFont="1" applyFill="1" applyBorder="1" applyAlignment="1" applyProtection="1">
      <alignment/>
      <protection/>
    </xf>
    <xf numFmtId="0" fontId="77" fillId="0" borderId="8" xfId="0" applyFont="1" applyBorder="1" applyAlignment="1" applyProtection="1">
      <alignment horizontal="center"/>
      <protection/>
    </xf>
    <xf numFmtId="0" fontId="114" fillId="0" borderId="8" xfId="0" applyFont="1" applyBorder="1" applyAlignment="1" applyProtection="1">
      <alignment/>
      <protection/>
    </xf>
    <xf numFmtId="0" fontId="116" fillId="0" borderId="18" xfId="0" applyFont="1" applyFill="1" applyBorder="1" applyAlignment="1" applyProtection="1">
      <alignment horizontal="left"/>
      <protection/>
    </xf>
    <xf numFmtId="0" fontId="116" fillId="0" borderId="0" xfId="0" applyFont="1" applyFill="1" applyBorder="1" applyAlignment="1" applyProtection="1">
      <alignment horizontal="left"/>
      <protection/>
    </xf>
    <xf numFmtId="0" fontId="116" fillId="0" borderId="21" xfId="0" applyFont="1" applyFill="1" applyBorder="1" applyAlignment="1" applyProtection="1">
      <alignment horizontal="left"/>
      <protection/>
    </xf>
    <xf numFmtId="0" fontId="116" fillId="0" borderId="15" xfId="0" applyFont="1" applyBorder="1" applyAlignment="1" applyProtection="1">
      <alignment horizontal="left"/>
      <protection/>
    </xf>
    <xf numFmtId="0" fontId="116" fillId="0" borderId="7" xfId="0" applyFont="1" applyBorder="1" applyAlignment="1" applyProtection="1">
      <alignment horizontal="left"/>
      <protection/>
    </xf>
    <xf numFmtId="0" fontId="116" fillId="0" borderId="7" xfId="0" applyFont="1" applyBorder="1" applyAlignment="1" applyProtection="1">
      <alignment/>
      <protection/>
    </xf>
    <xf numFmtId="0" fontId="69" fillId="0" borderId="8" xfId="0" applyFont="1" applyBorder="1" applyAlignment="1" applyProtection="1">
      <alignment/>
      <protection/>
    </xf>
    <xf numFmtId="0" fontId="114" fillId="0" borderId="14" xfId="0" applyFont="1" applyBorder="1" applyAlignment="1" applyProtection="1">
      <alignment horizontal="left"/>
      <protection/>
    </xf>
    <xf numFmtId="0" fontId="114" fillId="0" borderId="30" xfId="0" applyFont="1" applyBorder="1" applyAlignment="1" applyProtection="1">
      <alignment/>
      <protection/>
    </xf>
    <xf numFmtId="0" fontId="116" fillId="0" borderId="14" xfId="0" applyFont="1" applyBorder="1" applyAlignment="1" applyProtection="1">
      <alignment/>
      <protection/>
    </xf>
    <xf numFmtId="0" fontId="69" fillId="0" borderId="36" xfId="0" applyFont="1" applyBorder="1" applyAlignment="1" applyProtection="1">
      <alignment/>
      <protection/>
    </xf>
    <xf numFmtId="0" fontId="116" fillId="0" borderId="27" xfId="0" applyFont="1" applyBorder="1" applyAlignment="1" applyProtection="1">
      <alignment/>
      <protection/>
    </xf>
    <xf numFmtId="0" fontId="69" fillId="0" borderId="30" xfId="0" applyFont="1" applyBorder="1" applyAlignment="1" applyProtection="1">
      <alignment/>
      <protection/>
    </xf>
    <xf numFmtId="0" fontId="116" fillId="0" borderId="32" xfId="0" applyFont="1" applyBorder="1" applyAlignment="1" applyProtection="1">
      <alignment/>
      <protection/>
    </xf>
    <xf numFmtId="0" fontId="69" fillId="0" borderId="35" xfId="0" applyFont="1" applyFill="1" applyBorder="1" applyAlignment="1" applyProtection="1">
      <alignment/>
      <protection/>
    </xf>
    <xf numFmtId="0" fontId="69" fillId="0" borderId="28" xfId="0" applyFont="1" applyFill="1" applyBorder="1" applyAlignment="1" applyProtection="1">
      <alignment/>
      <protection/>
    </xf>
    <xf numFmtId="0" fontId="69" fillId="0" borderId="31" xfId="0" applyFont="1" applyFill="1" applyBorder="1" applyAlignment="1" applyProtection="1">
      <alignment horizontal="left"/>
      <protection/>
    </xf>
    <xf numFmtId="0" fontId="69" fillId="0" borderId="27" xfId="0" applyFont="1" applyFill="1" applyBorder="1" applyAlignment="1" applyProtection="1">
      <alignment horizontal="left"/>
      <protection/>
    </xf>
    <xf numFmtId="0" fontId="69" fillId="0" borderId="27" xfId="0" applyFont="1" applyFill="1" applyBorder="1" applyAlignment="1" applyProtection="1">
      <alignment/>
      <protection/>
    </xf>
    <xf numFmtId="0" fontId="69" fillId="0" borderId="36" xfId="0" applyFont="1" applyFill="1" applyBorder="1" applyAlignment="1" applyProtection="1">
      <alignment/>
      <protection/>
    </xf>
    <xf numFmtId="0" fontId="69" fillId="0" borderId="43" xfId="0" applyFont="1" applyFill="1" applyBorder="1" applyAlignment="1" applyProtection="1">
      <alignment/>
      <protection/>
    </xf>
    <xf numFmtId="0" fontId="69" fillId="0" borderId="44" xfId="0" applyFont="1" applyFill="1" applyBorder="1" applyAlignment="1" applyProtection="1">
      <alignment/>
      <protection/>
    </xf>
    <xf numFmtId="181" fontId="69" fillId="0" borderId="45" xfId="0" applyNumberFormat="1" applyFont="1" applyFill="1" applyBorder="1" applyAlignment="1" applyProtection="1">
      <alignment/>
      <protection/>
    </xf>
    <xf numFmtId="0" fontId="116" fillId="0" borderId="46" xfId="0" applyFont="1" applyFill="1" applyBorder="1" applyAlignment="1" applyProtection="1">
      <alignment horizontal="left"/>
      <protection/>
    </xf>
    <xf numFmtId="0" fontId="116" fillId="0" borderId="44" xfId="0" applyFont="1" applyFill="1" applyBorder="1" applyAlignment="1" applyProtection="1">
      <alignment horizontal="left"/>
      <protection/>
    </xf>
    <xf numFmtId="0" fontId="69" fillId="0" borderId="47" xfId="0" applyFont="1" applyFill="1" applyBorder="1" applyAlignment="1" applyProtection="1">
      <alignment/>
      <protection/>
    </xf>
    <xf numFmtId="0" fontId="116" fillId="0" borderId="42" xfId="0" applyFont="1" applyBorder="1" applyAlignment="1" applyProtection="1">
      <alignment horizontal="left"/>
      <protection/>
    </xf>
    <xf numFmtId="0" fontId="116" fillId="0" borderId="19" xfId="0" applyFont="1" applyBorder="1" applyAlignment="1" applyProtection="1">
      <alignment horizontal="left"/>
      <protection/>
    </xf>
    <xf numFmtId="0" fontId="116" fillId="0" borderId="0" xfId="0" applyFont="1" applyBorder="1" applyAlignment="1" applyProtection="1">
      <alignment horizontal="left"/>
      <protection/>
    </xf>
    <xf numFmtId="3" fontId="66" fillId="0" borderId="16" xfId="144" applyNumberFormat="1" applyFont="1" applyFill="1" applyBorder="1" applyAlignment="1" applyProtection="1">
      <alignment/>
      <protection/>
    </xf>
    <xf numFmtId="0" fontId="0" fillId="0" borderId="41" xfId="0" applyBorder="1" applyAlignment="1" applyProtection="1">
      <alignment vertical="center" wrapText="1"/>
      <protection/>
    </xf>
    <xf numFmtId="0" fontId="64" fillId="0" borderId="37" xfId="0" applyFont="1" applyBorder="1" applyAlignment="1" applyProtection="1">
      <alignment wrapText="1"/>
      <protection/>
    </xf>
    <xf numFmtId="3" fontId="67" fillId="0" borderId="24" xfId="0" applyNumberFormat="1" applyFont="1" applyBorder="1" applyAlignment="1" applyProtection="1">
      <alignment wrapText="1"/>
      <protection/>
    </xf>
    <xf numFmtId="3" fontId="67" fillId="0" borderId="38" xfId="0" applyNumberFormat="1" applyFont="1" applyBorder="1" applyAlignment="1" applyProtection="1">
      <alignment wrapText="1"/>
      <protection/>
    </xf>
    <xf numFmtId="0" fontId="64" fillId="0" borderId="48" xfId="0" applyFont="1" applyBorder="1" applyAlignment="1" applyProtection="1">
      <alignment wrapText="1"/>
      <protection/>
    </xf>
    <xf numFmtId="3" fontId="67" fillId="0" borderId="40" xfId="0" applyNumberFormat="1" applyFont="1" applyBorder="1" applyAlignment="1" applyProtection="1">
      <alignment wrapText="1"/>
      <protection/>
    </xf>
    <xf numFmtId="205" fontId="67" fillId="0" borderId="49" xfId="0" applyNumberFormat="1" applyFont="1" applyBorder="1" applyAlignment="1" applyProtection="1">
      <alignment wrapText="1"/>
      <protection/>
    </xf>
    <xf numFmtId="205" fontId="67" fillId="0" borderId="50" xfId="0" applyNumberFormat="1" applyFont="1" applyBorder="1" applyAlignment="1" applyProtection="1">
      <alignment wrapText="1"/>
      <protection/>
    </xf>
    <xf numFmtId="205" fontId="67" fillId="0" borderId="24" xfId="0" applyNumberFormat="1" applyFont="1" applyBorder="1" applyAlignment="1" applyProtection="1">
      <alignment wrapText="1"/>
      <protection/>
    </xf>
    <xf numFmtId="205" fontId="67" fillId="0" borderId="38" xfId="0" applyNumberFormat="1" applyFont="1" applyBorder="1" applyAlignment="1" applyProtection="1">
      <alignment wrapText="1"/>
      <protection/>
    </xf>
    <xf numFmtId="0" fontId="0" fillId="39" borderId="8" xfId="0" applyFill="1" applyBorder="1" applyAlignment="1" applyProtection="1">
      <alignment wrapText="1"/>
      <protection/>
    </xf>
    <xf numFmtId="3" fontId="66" fillId="39" borderId="8" xfId="0" applyNumberFormat="1" applyFont="1" applyFill="1" applyBorder="1" applyAlignment="1" applyProtection="1">
      <alignment wrapText="1"/>
      <protection/>
    </xf>
    <xf numFmtId="0" fontId="64" fillId="39" borderId="8" xfId="0" applyFont="1" applyFill="1" applyBorder="1" applyAlignment="1" applyProtection="1">
      <alignment wrapText="1"/>
      <protection/>
    </xf>
    <xf numFmtId="3" fontId="67" fillId="39" borderId="8" xfId="0" applyNumberFormat="1" applyFont="1" applyFill="1" applyBorder="1" applyAlignment="1" applyProtection="1">
      <alignment wrapText="1"/>
      <protection/>
    </xf>
    <xf numFmtId="0" fontId="0" fillId="39" borderId="8" xfId="0" applyFont="1" applyFill="1" applyBorder="1" applyAlignment="1" applyProtection="1">
      <alignment wrapText="1"/>
      <protection/>
    </xf>
    <xf numFmtId="2" fontId="66" fillId="39" borderId="8" xfId="146" applyNumberFormat="1" applyFont="1" applyFill="1" applyBorder="1" applyAlignment="1" applyProtection="1">
      <alignment wrapText="1"/>
      <protection/>
    </xf>
    <xf numFmtId="184" fontId="67" fillId="39" borderId="8" xfId="0" applyNumberFormat="1" applyFont="1" applyFill="1" applyBorder="1" applyAlignment="1" applyProtection="1">
      <alignment wrapText="1"/>
      <protection/>
    </xf>
    <xf numFmtId="181" fontId="66" fillId="0" borderId="0" xfId="0" applyNumberFormat="1" applyFont="1" applyAlignment="1" applyProtection="1">
      <alignment/>
      <protection/>
    </xf>
    <xf numFmtId="181" fontId="1" fillId="0" borderId="34" xfId="0" applyNumberFormat="1" applyFont="1" applyFill="1" applyBorder="1" applyAlignment="1" applyProtection="1">
      <alignment horizontal="center"/>
      <protection/>
    </xf>
    <xf numFmtId="0" fontId="109" fillId="0" borderId="0" xfId="0" applyFont="1" applyAlignment="1" applyProtection="1">
      <alignment/>
      <protection/>
    </xf>
    <xf numFmtId="0" fontId="104" fillId="39" borderId="8" xfId="112" applyFill="1" applyBorder="1" applyAlignment="1" applyProtection="1">
      <alignment horizontal="center" vertical="center"/>
      <protection/>
    </xf>
    <xf numFmtId="0" fontId="116" fillId="0" borderId="0" xfId="0" applyFont="1" applyAlignment="1" applyProtection="1">
      <alignment/>
      <protection/>
    </xf>
    <xf numFmtId="172" fontId="69" fillId="40" borderId="20" xfId="144" applyNumberFormat="1" applyFont="1" applyFill="1" applyBorder="1" applyAlignment="1" applyProtection="1">
      <alignment horizontal="center"/>
      <protection/>
    </xf>
    <xf numFmtId="1" fontId="45" fillId="0" borderId="8" xfId="0" applyNumberFormat="1" applyFont="1" applyBorder="1" applyAlignment="1" applyProtection="1">
      <alignment/>
      <protection/>
    </xf>
    <xf numFmtId="1" fontId="66" fillId="0" borderId="20" xfId="0" applyNumberFormat="1" applyFont="1" applyBorder="1" applyAlignment="1" applyProtection="1">
      <alignment/>
      <protection/>
    </xf>
    <xf numFmtId="1" fontId="66" fillId="0" borderId="24" xfId="0" applyNumberFormat="1" applyFont="1" applyBorder="1" applyAlignment="1" applyProtection="1">
      <alignment/>
      <protection/>
    </xf>
    <xf numFmtId="1" fontId="65" fillId="0" borderId="20" xfId="0" applyNumberFormat="1" applyFont="1" applyFill="1" applyBorder="1" applyAlignment="1" applyProtection="1">
      <alignment/>
      <protection/>
    </xf>
    <xf numFmtId="0" fontId="45" fillId="0" borderId="8" xfId="0" applyFont="1" applyFill="1" applyBorder="1" applyAlignment="1" applyProtection="1">
      <alignment/>
      <protection/>
    </xf>
    <xf numFmtId="0" fontId="0" fillId="0" borderId="0" xfId="0" applyAlignment="1" applyProtection="1">
      <alignment/>
      <protection/>
    </xf>
    <xf numFmtId="0" fontId="113" fillId="38" borderId="34" xfId="0" applyFont="1" applyFill="1" applyBorder="1" applyAlignment="1" applyProtection="1">
      <alignment horizontal="center"/>
      <protection/>
    </xf>
    <xf numFmtId="1" fontId="66" fillId="0" borderId="8" xfId="0" applyNumberFormat="1" applyFont="1" applyBorder="1" applyAlignment="1" applyProtection="1">
      <alignment wrapText="1"/>
      <protection/>
    </xf>
    <xf numFmtId="1" fontId="66" fillId="0" borderId="34" xfId="0" applyNumberFormat="1" applyFont="1" applyBorder="1" applyAlignment="1" applyProtection="1">
      <alignment wrapText="1"/>
      <protection/>
    </xf>
    <xf numFmtId="9" fontId="66" fillId="0" borderId="8" xfId="144" applyFont="1" applyBorder="1" applyAlignment="1" applyProtection="1">
      <alignment wrapText="1"/>
      <protection/>
    </xf>
    <xf numFmtId="9" fontId="66" fillId="0" borderId="34" xfId="144" applyFont="1" applyBorder="1" applyAlignment="1" applyProtection="1">
      <alignment wrapText="1"/>
      <protection/>
    </xf>
    <xf numFmtId="181" fontId="1" fillId="0" borderId="38" xfId="0" applyNumberFormat="1" applyFont="1" applyFill="1" applyBorder="1" applyAlignment="1" applyProtection="1">
      <alignment horizontal="center"/>
      <protection/>
    </xf>
    <xf numFmtId="181" fontId="1" fillId="0" borderId="40" xfId="0" applyNumberFormat="1" applyFont="1" applyFill="1" applyBorder="1" applyAlignment="1" applyProtection="1">
      <alignment horizontal="center"/>
      <protection/>
    </xf>
    <xf numFmtId="181" fontId="1" fillId="0" borderId="29" xfId="0" applyNumberFormat="1" applyFont="1" applyFill="1" applyBorder="1" applyAlignment="1" applyProtection="1">
      <alignment horizontal="center"/>
      <protection/>
    </xf>
    <xf numFmtId="0" fontId="117" fillId="38" borderId="51" xfId="0" applyFont="1" applyFill="1" applyBorder="1" applyAlignment="1" applyProtection="1">
      <alignment/>
      <protection/>
    </xf>
    <xf numFmtId="0" fontId="117" fillId="38" borderId="52" xfId="0" applyFont="1" applyFill="1" applyBorder="1" applyAlignment="1" applyProtection="1">
      <alignment/>
      <protection/>
    </xf>
    <xf numFmtId="0" fontId="69" fillId="38" borderId="52" xfId="0" applyFont="1" applyFill="1" applyBorder="1" applyAlignment="1" applyProtection="1">
      <alignment/>
      <protection/>
    </xf>
    <xf numFmtId="0" fontId="69" fillId="38" borderId="53" xfId="0" applyFont="1" applyFill="1" applyBorder="1" applyAlignment="1" applyProtection="1">
      <alignment/>
      <protection/>
    </xf>
    <xf numFmtId="0" fontId="116" fillId="0" borderId="31" xfId="0" applyFont="1" applyBorder="1" applyAlignment="1" applyProtection="1">
      <alignment horizontal="left"/>
      <protection/>
    </xf>
    <xf numFmtId="0" fontId="116" fillId="0" borderId="27" xfId="0" applyFont="1" applyBorder="1" applyAlignment="1" applyProtection="1">
      <alignment horizontal="left"/>
      <protection/>
    </xf>
    <xf numFmtId="0" fontId="116" fillId="0" borderId="43" xfId="0" applyFont="1" applyBorder="1" applyAlignment="1" applyProtection="1">
      <alignment horizontal="left"/>
      <protection/>
    </xf>
    <xf numFmtId="0" fontId="116" fillId="0" borderId="44" xfId="0" applyFont="1" applyBorder="1" applyAlignment="1" applyProtection="1">
      <alignment horizontal="left"/>
      <protection/>
    </xf>
    <xf numFmtId="0" fontId="116" fillId="0" borderId="45" xfId="0" applyFont="1" applyBorder="1" applyAlignment="1" applyProtection="1">
      <alignment horizontal="left"/>
      <protection/>
    </xf>
    <xf numFmtId="0" fontId="116" fillId="0" borderId="46" xfId="0" applyFont="1" applyBorder="1" applyAlignment="1" applyProtection="1">
      <alignment horizontal="left"/>
      <protection/>
    </xf>
    <xf numFmtId="0" fontId="117" fillId="0" borderId="51" xfId="0" applyFont="1" applyFill="1" applyBorder="1" applyAlignment="1" applyProtection="1">
      <alignment/>
      <protection/>
    </xf>
    <xf numFmtId="0" fontId="117" fillId="0" borderId="52" xfId="0" applyFont="1" applyFill="1" applyBorder="1" applyAlignment="1" applyProtection="1">
      <alignment/>
      <protection/>
    </xf>
    <xf numFmtId="0" fontId="69" fillId="0" borderId="52" xfId="0" applyFont="1" applyFill="1" applyBorder="1" applyAlignment="1" applyProtection="1">
      <alignment/>
      <protection/>
    </xf>
    <xf numFmtId="181" fontId="69" fillId="0" borderId="38" xfId="0" applyNumberFormat="1" applyFont="1" applyFill="1" applyBorder="1" applyAlignment="1" applyProtection="1">
      <alignment/>
      <protection/>
    </xf>
    <xf numFmtId="181" fontId="69" fillId="0" borderId="29" xfId="0" applyNumberFormat="1" applyFont="1" applyFill="1" applyBorder="1" applyAlignment="1" applyProtection="1">
      <alignment/>
      <protection/>
    </xf>
    <xf numFmtId="181" fontId="69" fillId="0" borderId="50" xfId="0" applyNumberFormat="1" applyFont="1" applyFill="1" applyBorder="1" applyAlignment="1" applyProtection="1">
      <alignment/>
      <protection/>
    </xf>
    <xf numFmtId="0" fontId="117" fillId="0" borderId="54" xfId="0" applyFont="1" applyFill="1" applyBorder="1" applyAlignment="1" applyProtection="1">
      <alignment/>
      <protection/>
    </xf>
    <xf numFmtId="0" fontId="117" fillId="0" borderId="6" xfId="0" applyFont="1" applyFill="1" applyBorder="1" applyAlignment="1" applyProtection="1">
      <alignment/>
      <protection/>
    </xf>
    <xf numFmtId="0" fontId="69" fillId="0" borderId="6" xfId="0" applyFont="1" applyFill="1" applyBorder="1" applyAlignment="1" applyProtection="1">
      <alignment/>
      <protection/>
    </xf>
    <xf numFmtId="181" fontId="69" fillId="0" borderId="28" xfId="0" applyNumberFormat="1" applyFont="1" applyFill="1" applyBorder="1" applyAlignment="1" applyProtection="1">
      <alignment/>
      <protection/>
    </xf>
    <xf numFmtId="181" fontId="69" fillId="0" borderId="47" xfId="0" applyNumberFormat="1" applyFont="1" applyFill="1" applyBorder="1" applyAlignment="1" applyProtection="1">
      <alignment/>
      <protection/>
    </xf>
    <xf numFmtId="0" fontId="117" fillId="38" borderId="55" xfId="0" applyFont="1" applyFill="1" applyBorder="1" applyAlignment="1" applyProtection="1">
      <alignment horizontal="center"/>
      <protection/>
    </xf>
    <xf numFmtId="0" fontId="117" fillId="38" borderId="56" xfId="0" applyFont="1" applyFill="1" applyBorder="1" applyAlignment="1" applyProtection="1">
      <alignment horizontal="center"/>
      <protection/>
    </xf>
    <xf numFmtId="174" fontId="67" fillId="0" borderId="8" xfId="0" applyNumberFormat="1" applyFont="1" applyBorder="1" applyAlignment="1" applyProtection="1">
      <alignment wrapText="1"/>
      <protection/>
    </xf>
    <xf numFmtId="174" fontId="67" fillId="0" borderId="34" xfId="0" applyNumberFormat="1" applyFont="1" applyBorder="1" applyAlignment="1" applyProtection="1">
      <alignment wrapText="1"/>
      <protection/>
    </xf>
    <xf numFmtId="0" fontId="0" fillId="0" borderId="33" xfId="0" applyBorder="1" applyAlignment="1" applyProtection="1">
      <alignment wrapText="1"/>
      <protection/>
    </xf>
    <xf numFmtId="9" fontId="65" fillId="0" borderId="8" xfId="144" applyFont="1" applyFill="1" applyBorder="1" applyAlignment="1" applyProtection="1">
      <alignment/>
      <protection/>
    </xf>
    <xf numFmtId="173" fontId="65" fillId="0" borderId="8" xfId="0" applyNumberFormat="1" applyFont="1" applyFill="1" applyBorder="1" applyAlignment="1" applyProtection="1">
      <alignment/>
      <protection/>
    </xf>
    <xf numFmtId="172" fontId="74" fillId="0" borderId="8" xfId="144" applyNumberFormat="1" applyFont="1" applyFill="1" applyBorder="1" applyAlignment="1" applyProtection="1">
      <alignment/>
      <protection/>
    </xf>
    <xf numFmtId="0" fontId="116" fillId="0" borderId="20" xfId="0" applyFont="1" applyFill="1" applyBorder="1" applyAlignment="1" applyProtection="1">
      <alignment/>
      <protection/>
    </xf>
    <xf numFmtId="184" fontId="45" fillId="0" borderId="8" xfId="0" applyNumberFormat="1" applyFont="1" applyFill="1" applyBorder="1" applyAlignment="1" applyProtection="1">
      <alignment vertical="center"/>
      <protection/>
    </xf>
    <xf numFmtId="0" fontId="64" fillId="0" borderId="39" xfId="0" applyFont="1" applyBorder="1" applyAlignment="1" applyProtection="1">
      <alignment wrapText="1"/>
      <protection/>
    </xf>
    <xf numFmtId="3" fontId="67" fillId="0" borderId="8" xfId="0" applyNumberFormat="1" applyFont="1" applyFill="1" applyBorder="1" applyAlignment="1" applyProtection="1">
      <alignment wrapText="1"/>
      <protection/>
    </xf>
    <xf numFmtId="3" fontId="67" fillId="0" borderId="34" xfId="0" applyNumberFormat="1" applyFont="1" applyFill="1" applyBorder="1" applyAlignment="1" applyProtection="1">
      <alignment wrapText="1"/>
      <protection/>
    </xf>
    <xf numFmtId="0" fontId="69" fillId="0" borderId="30" xfId="0" applyFont="1" applyFill="1" applyBorder="1" applyAlignment="1" applyProtection="1">
      <alignment/>
      <protection/>
    </xf>
    <xf numFmtId="0" fontId="118" fillId="0" borderId="0" xfId="0" applyFont="1" applyAlignment="1" applyProtection="1">
      <alignment/>
      <protection/>
    </xf>
    <xf numFmtId="0" fontId="114" fillId="0" borderId="18" xfId="0" applyFont="1" applyBorder="1" applyAlignment="1" applyProtection="1">
      <alignment/>
      <protection/>
    </xf>
    <xf numFmtId="0" fontId="116" fillId="0" borderId="18" xfId="0" applyFont="1" applyBorder="1" applyAlignment="1" applyProtection="1">
      <alignment horizontal="center"/>
      <protection/>
    </xf>
    <xf numFmtId="0" fontId="116" fillId="0" borderId="35" xfId="0" applyFont="1" applyBorder="1" applyAlignment="1" applyProtection="1">
      <alignment/>
      <protection/>
    </xf>
    <xf numFmtId="0" fontId="114" fillId="0" borderId="15" xfId="0" applyFont="1" applyBorder="1" applyAlignment="1" applyProtection="1">
      <alignment/>
      <protection/>
    </xf>
    <xf numFmtId="0" fontId="116" fillId="0" borderId="30" xfId="0" applyFont="1" applyBorder="1" applyAlignment="1" applyProtection="1">
      <alignment/>
      <protection/>
    </xf>
    <xf numFmtId="0" fontId="114" fillId="0" borderId="31" xfId="0" applyFont="1" applyBorder="1" applyAlignment="1" applyProtection="1">
      <alignment/>
      <protection/>
    </xf>
    <xf numFmtId="0" fontId="116" fillId="0" borderId="42" xfId="0" applyFont="1" applyBorder="1" applyAlignment="1" applyProtection="1">
      <alignment/>
      <protection/>
    </xf>
    <xf numFmtId="0" fontId="116" fillId="0" borderId="44" xfId="0" applyFont="1" applyBorder="1" applyAlignment="1" applyProtection="1">
      <alignment/>
      <protection/>
    </xf>
    <xf numFmtId="0" fontId="119" fillId="0" borderId="0" xfId="0" applyFont="1" applyAlignment="1" applyProtection="1">
      <alignment/>
      <protection/>
    </xf>
    <xf numFmtId="0" fontId="120" fillId="0" borderId="0" xfId="0" applyFont="1" applyAlignment="1" applyProtection="1">
      <alignment/>
      <protection/>
    </xf>
    <xf numFmtId="0" fontId="116" fillId="0" borderId="15" xfId="0" applyFont="1" applyBorder="1" applyAlignment="1" applyProtection="1">
      <alignment/>
      <protection/>
    </xf>
    <xf numFmtId="0" fontId="116" fillId="0" borderId="8" xfId="0" applyFont="1" applyFill="1" applyBorder="1" applyAlignment="1" applyProtection="1">
      <alignment horizontal="center"/>
      <protection/>
    </xf>
    <xf numFmtId="0" fontId="116" fillId="0" borderId="28" xfId="0" applyFont="1" applyBorder="1" applyAlignment="1" applyProtection="1">
      <alignment/>
      <protection/>
    </xf>
    <xf numFmtId="0" fontId="113" fillId="0" borderId="27" xfId="0" applyFont="1" applyFill="1" applyBorder="1" applyAlignment="1" applyProtection="1">
      <alignment/>
      <protection/>
    </xf>
    <xf numFmtId="0" fontId="0" fillId="0" borderId="0" xfId="0" applyFill="1" applyBorder="1" applyAlignment="1" applyProtection="1">
      <alignment/>
      <protection/>
    </xf>
    <xf numFmtId="0" fontId="0" fillId="0" borderId="28" xfId="0" applyFill="1" applyBorder="1" applyAlignment="1" applyProtection="1">
      <alignment/>
      <protection/>
    </xf>
    <xf numFmtId="0" fontId="114" fillId="0" borderId="31" xfId="0" applyFont="1" applyBorder="1" applyAlignment="1" applyProtection="1">
      <alignment horizontal="center"/>
      <protection/>
    </xf>
    <xf numFmtId="0" fontId="114" fillId="0" borderId="24" xfId="0" applyFont="1" applyBorder="1" applyAlignment="1" applyProtection="1">
      <alignment horizontal="center"/>
      <protection/>
    </xf>
    <xf numFmtId="0" fontId="114" fillId="0" borderId="42" xfId="0" applyFont="1" applyFill="1" applyBorder="1" applyAlignment="1" applyProtection="1">
      <alignment horizontal="center"/>
      <protection/>
    </xf>
    <xf numFmtId="0" fontId="114" fillId="0" borderId="14" xfId="0" applyFont="1" applyBorder="1" applyAlignment="1" applyProtection="1">
      <alignment horizontal="center" vertical="center" wrapText="1"/>
      <protection/>
    </xf>
    <xf numFmtId="0" fontId="113" fillId="0" borderId="30" xfId="0" applyFont="1" applyBorder="1" applyAlignment="1" applyProtection="1">
      <alignment horizontal="center"/>
      <protection/>
    </xf>
    <xf numFmtId="0" fontId="116" fillId="0" borderId="27" xfId="0" applyFont="1" applyBorder="1" applyAlignment="1" applyProtection="1">
      <alignment horizontal="center"/>
      <protection/>
    </xf>
    <xf numFmtId="0" fontId="0" fillId="0" borderId="27" xfId="0" applyFill="1" applyBorder="1" applyAlignment="1" applyProtection="1">
      <alignment/>
      <protection/>
    </xf>
    <xf numFmtId="0" fontId="0" fillId="0" borderId="20" xfId="0" applyFill="1" applyBorder="1" applyAlignment="1" applyProtection="1">
      <alignment horizontal="center"/>
      <protection/>
    </xf>
    <xf numFmtId="0" fontId="0" fillId="0" borderId="28" xfId="0" applyFill="1" applyBorder="1" applyAlignment="1" applyProtection="1">
      <alignment horizontal="center"/>
      <protection/>
    </xf>
    <xf numFmtId="0" fontId="0" fillId="0" borderId="32" xfId="0" applyFill="1" applyBorder="1" applyAlignment="1" applyProtection="1">
      <alignment/>
      <protection/>
    </xf>
    <xf numFmtId="0" fontId="0" fillId="0" borderId="21" xfId="0" applyFill="1" applyBorder="1" applyAlignment="1" applyProtection="1">
      <alignment/>
      <protection/>
    </xf>
    <xf numFmtId="0" fontId="0" fillId="0" borderId="26" xfId="0" applyFill="1" applyBorder="1" applyAlignment="1" applyProtection="1">
      <alignment horizontal="center"/>
      <protection/>
    </xf>
    <xf numFmtId="0" fontId="0" fillId="0" borderId="36" xfId="0" applyFill="1" applyBorder="1" applyAlignment="1" applyProtection="1">
      <alignment horizontal="center"/>
      <protection/>
    </xf>
    <xf numFmtId="0" fontId="113" fillId="0" borderId="31" xfId="0" applyFont="1" applyFill="1" applyBorder="1" applyAlignment="1" applyProtection="1">
      <alignment horizontal="center"/>
      <protection/>
    </xf>
    <xf numFmtId="0" fontId="0" fillId="0" borderId="18" xfId="0" applyFill="1" applyBorder="1" applyAlignment="1" applyProtection="1">
      <alignment/>
      <protection/>
    </xf>
    <xf numFmtId="0" fontId="0" fillId="0" borderId="35" xfId="0" applyFill="1" applyBorder="1" applyAlignment="1" applyProtection="1">
      <alignment/>
      <protection/>
    </xf>
    <xf numFmtId="0" fontId="113" fillId="0" borderId="32" xfId="0" applyFont="1" applyFill="1" applyBorder="1" applyAlignment="1" applyProtection="1">
      <alignment/>
      <protection/>
    </xf>
    <xf numFmtId="0" fontId="0" fillId="0" borderId="36" xfId="0" applyFill="1" applyBorder="1" applyAlignment="1" applyProtection="1">
      <alignment/>
      <protection/>
    </xf>
    <xf numFmtId="0" fontId="113" fillId="0" borderId="30" xfId="0" applyFont="1" applyFill="1" applyBorder="1" applyAlignment="1" applyProtection="1">
      <alignment horizontal="center"/>
      <protection/>
    </xf>
    <xf numFmtId="0" fontId="0" fillId="0" borderId="31" xfId="0" applyFill="1" applyBorder="1" applyAlignment="1" applyProtection="1">
      <alignment/>
      <protection/>
    </xf>
    <xf numFmtId="0" fontId="0" fillId="0" borderId="24" xfId="0" applyFill="1" applyBorder="1" applyAlignment="1" applyProtection="1">
      <alignment horizontal="center"/>
      <protection/>
    </xf>
    <xf numFmtId="0" fontId="0" fillId="0" borderId="35" xfId="0" applyFill="1" applyBorder="1" applyAlignment="1" applyProtection="1">
      <alignment horizontal="center"/>
      <protection/>
    </xf>
    <xf numFmtId="0" fontId="116" fillId="0" borderId="43" xfId="0" applyFont="1" applyBorder="1" applyAlignment="1" applyProtection="1">
      <alignment horizontal="center"/>
      <protection/>
    </xf>
    <xf numFmtId="0" fontId="0" fillId="0" borderId="43" xfId="0" applyFill="1" applyBorder="1" applyAlignment="1" applyProtection="1">
      <alignment/>
      <protection/>
    </xf>
    <xf numFmtId="0" fontId="0" fillId="0" borderId="44" xfId="0" applyFill="1" applyBorder="1" applyAlignment="1" applyProtection="1">
      <alignment/>
      <protection/>
    </xf>
    <xf numFmtId="0" fontId="0" fillId="0" borderId="49" xfId="0" applyFill="1" applyBorder="1" applyAlignment="1" applyProtection="1">
      <alignment horizontal="center"/>
      <protection/>
    </xf>
    <xf numFmtId="0" fontId="0" fillId="0" borderId="47" xfId="0" applyFill="1" applyBorder="1" applyAlignment="1" applyProtection="1">
      <alignment/>
      <protection/>
    </xf>
    <xf numFmtId="0" fontId="65" fillId="0" borderId="31" xfId="0" applyFont="1" applyFill="1" applyBorder="1" applyAlignment="1" applyProtection="1">
      <alignment/>
      <protection/>
    </xf>
    <xf numFmtId="0" fontId="65" fillId="0" borderId="18" xfId="0" applyFont="1" applyFill="1" applyBorder="1" applyAlignment="1" applyProtection="1">
      <alignment/>
      <protection/>
    </xf>
    <xf numFmtId="0" fontId="65" fillId="0" borderId="42" xfId="0" applyFont="1" applyFill="1" applyBorder="1" applyAlignment="1" applyProtection="1">
      <alignment/>
      <protection/>
    </xf>
    <xf numFmtId="0" fontId="45" fillId="0" borderId="27" xfId="0" applyFont="1" applyFill="1" applyBorder="1" applyAlignment="1" applyProtection="1">
      <alignment/>
      <protection/>
    </xf>
    <xf numFmtId="0" fontId="45" fillId="0" borderId="0" xfId="0" applyFont="1" applyFill="1" applyBorder="1" applyAlignment="1" applyProtection="1">
      <alignment/>
      <protection/>
    </xf>
    <xf numFmtId="0" fontId="45" fillId="0" borderId="19" xfId="0" applyFont="1" applyFill="1" applyBorder="1" applyAlignment="1" applyProtection="1">
      <alignment/>
      <protection/>
    </xf>
    <xf numFmtId="0" fontId="65" fillId="0" borderId="27" xfId="0" applyFont="1" applyFill="1" applyBorder="1" applyAlignment="1" applyProtection="1">
      <alignment/>
      <protection/>
    </xf>
    <xf numFmtId="0" fontId="65" fillId="0" borderId="0" xfId="0" applyFont="1" applyFill="1" applyBorder="1" applyAlignment="1" applyProtection="1">
      <alignment/>
      <protection/>
    </xf>
    <xf numFmtId="0" fontId="65" fillId="0" borderId="19" xfId="0" applyFont="1" applyFill="1" applyBorder="1" applyAlignment="1" applyProtection="1">
      <alignment/>
      <protection/>
    </xf>
    <xf numFmtId="1" fontId="65" fillId="0" borderId="20" xfId="119" applyNumberFormat="1" applyFont="1" applyFill="1" applyBorder="1" applyAlignment="1" applyProtection="1">
      <alignment/>
      <protection/>
    </xf>
    <xf numFmtId="0" fontId="45" fillId="0" borderId="27" xfId="0" applyFont="1" applyFill="1" applyBorder="1" applyAlignment="1" applyProtection="1">
      <alignment horizontal="left" indent="2"/>
      <protection/>
    </xf>
    <xf numFmtId="0" fontId="45" fillId="0" borderId="0" xfId="0" applyFont="1" applyFill="1" applyBorder="1" applyAlignment="1" applyProtection="1">
      <alignment horizontal="left" indent="2"/>
      <protection/>
    </xf>
    <xf numFmtId="0" fontId="45" fillId="0" borderId="19" xfId="0" applyFont="1" applyFill="1" applyBorder="1" applyAlignment="1" applyProtection="1">
      <alignment horizontal="left" indent="2"/>
      <protection/>
    </xf>
    <xf numFmtId="1" fontId="45" fillId="0" borderId="20" xfId="119" applyNumberFormat="1" applyFont="1" applyFill="1" applyBorder="1" applyAlignment="1" applyProtection="1">
      <alignment/>
      <protection/>
    </xf>
    <xf numFmtId="0" fontId="65" fillId="0" borderId="27" xfId="0" applyFont="1" applyFill="1" applyBorder="1" applyAlignment="1" applyProtection="1">
      <alignment horizontal="left"/>
      <protection/>
    </xf>
    <xf numFmtId="0" fontId="45" fillId="0" borderId="27" xfId="0" applyFont="1" applyFill="1" applyBorder="1" applyAlignment="1" applyProtection="1">
      <alignment horizontal="left"/>
      <protection/>
    </xf>
    <xf numFmtId="0" fontId="45" fillId="0" borderId="27" xfId="0" applyFont="1" applyFill="1" applyBorder="1" applyAlignment="1" applyProtection="1">
      <alignment horizontal="left" indent="1"/>
      <protection/>
    </xf>
    <xf numFmtId="0" fontId="45" fillId="0" borderId="0" xfId="0" applyFont="1" applyFill="1" applyBorder="1" applyAlignment="1" applyProtection="1">
      <alignment horizontal="left" indent="1"/>
      <protection/>
    </xf>
    <xf numFmtId="0" fontId="45" fillId="0" borderId="19" xfId="0" applyFont="1" applyFill="1" applyBorder="1" applyAlignment="1" applyProtection="1">
      <alignment horizontal="left" indent="1"/>
      <protection/>
    </xf>
    <xf numFmtId="0" fontId="45" fillId="0" borderId="43" xfId="0" applyFont="1" applyFill="1" applyBorder="1" applyAlignment="1" applyProtection="1">
      <alignment horizontal="left" indent="2"/>
      <protection/>
    </xf>
    <xf numFmtId="0" fontId="45" fillId="0" borderId="44" xfId="0" applyFont="1" applyFill="1" applyBorder="1" applyAlignment="1" applyProtection="1">
      <alignment horizontal="left" indent="2"/>
      <protection/>
    </xf>
    <xf numFmtId="0" fontId="45" fillId="0" borderId="45" xfId="0" applyFont="1" applyFill="1" applyBorder="1" applyAlignment="1" applyProtection="1">
      <alignment horizontal="left" indent="2"/>
      <protection/>
    </xf>
    <xf numFmtId="1" fontId="45" fillId="0" borderId="49" xfId="119" applyNumberFormat="1" applyFont="1" applyFill="1" applyBorder="1" applyAlignment="1" applyProtection="1">
      <alignment/>
      <protection/>
    </xf>
    <xf numFmtId="0" fontId="116" fillId="0" borderId="47" xfId="0" applyFont="1" applyBorder="1" applyAlignment="1" applyProtection="1">
      <alignment/>
      <protection/>
    </xf>
    <xf numFmtId="1" fontId="45" fillId="0" borderId="0" xfId="119" applyNumberFormat="1" applyFont="1" applyFill="1" applyBorder="1" applyAlignment="1" applyProtection="1">
      <alignment/>
      <protection/>
    </xf>
    <xf numFmtId="0" fontId="116" fillId="0" borderId="17" xfId="0" applyFont="1" applyBorder="1" applyAlignment="1" applyProtection="1">
      <alignment/>
      <protection/>
    </xf>
    <xf numFmtId="2" fontId="116" fillId="0" borderId="20" xfId="0" applyNumberFormat="1" applyFont="1" applyFill="1" applyBorder="1" applyAlignment="1" applyProtection="1">
      <alignment/>
      <protection/>
    </xf>
    <xf numFmtId="0" fontId="116" fillId="0" borderId="0" xfId="0" applyFont="1" applyFill="1" applyAlignment="1" applyProtection="1">
      <alignment/>
      <protection/>
    </xf>
    <xf numFmtId="0" fontId="116" fillId="0" borderId="43" xfId="0" applyFont="1" applyBorder="1" applyAlignment="1" applyProtection="1">
      <alignment/>
      <protection/>
    </xf>
    <xf numFmtId="0" fontId="116" fillId="0" borderId="46" xfId="0" applyFont="1" applyBorder="1" applyAlignment="1" applyProtection="1">
      <alignment/>
      <protection/>
    </xf>
    <xf numFmtId="181" fontId="116" fillId="0" borderId="49" xfId="0" applyNumberFormat="1" applyFont="1" applyFill="1" applyBorder="1" applyAlignment="1" applyProtection="1">
      <alignment/>
      <protection/>
    </xf>
    <xf numFmtId="0" fontId="65" fillId="0" borderId="33" xfId="0" applyFont="1" applyFill="1" applyBorder="1" applyAlignment="1" applyProtection="1">
      <alignment/>
      <protection/>
    </xf>
    <xf numFmtId="0" fontId="65" fillId="0" borderId="8" xfId="0" applyFont="1" applyFill="1" applyBorder="1" applyAlignment="1" applyProtection="1">
      <alignment/>
      <protection/>
    </xf>
    <xf numFmtId="0" fontId="114" fillId="0" borderId="27" xfId="0" applyFont="1" applyBorder="1" applyAlignment="1" applyProtection="1">
      <alignment/>
      <protection/>
    </xf>
    <xf numFmtId="0" fontId="114" fillId="0" borderId="17" xfId="0" applyFont="1" applyBorder="1" applyAlignment="1" applyProtection="1">
      <alignment/>
      <protection/>
    </xf>
    <xf numFmtId="0" fontId="114" fillId="0" borderId="0" xfId="0" applyFont="1" applyBorder="1" applyAlignment="1" applyProtection="1">
      <alignment/>
      <protection/>
    </xf>
    <xf numFmtId="0" fontId="116" fillId="0" borderId="20" xfId="0" applyFont="1" applyBorder="1" applyAlignment="1" applyProtection="1">
      <alignment/>
      <protection/>
    </xf>
    <xf numFmtId="0" fontId="114" fillId="0" borderId="19" xfId="0" applyFont="1" applyBorder="1" applyAlignment="1" applyProtection="1">
      <alignment/>
      <protection/>
    </xf>
    <xf numFmtId="0" fontId="116" fillId="0" borderId="19" xfId="0" applyFont="1" applyBorder="1" applyAlignment="1" applyProtection="1">
      <alignment/>
      <protection/>
    </xf>
    <xf numFmtId="0" fontId="116" fillId="0" borderId="45" xfId="0" applyFont="1" applyBorder="1" applyAlignment="1" applyProtection="1">
      <alignment/>
      <protection/>
    </xf>
    <xf numFmtId="0" fontId="116" fillId="0" borderId="49" xfId="0" applyFont="1" applyFill="1" applyBorder="1" applyAlignment="1" applyProtection="1">
      <alignment/>
      <protection/>
    </xf>
    <xf numFmtId="2" fontId="116" fillId="0" borderId="49" xfId="0" applyNumberFormat="1" applyFont="1" applyBorder="1" applyAlignment="1" applyProtection="1">
      <alignment/>
      <protection/>
    </xf>
    <xf numFmtId="0" fontId="114" fillId="0" borderId="42" xfId="0" applyFont="1" applyBorder="1" applyAlignment="1" applyProtection="1">
      <alignment/>
      <protection/>
    </xf>
    <xf numFmtId="0" fontId="116" fillId="0" borderId="24" xfId="0" applyFont="1" applyBorder="1" applyAlignment="1" applyProtection="1">
      <alignment/>
      <protection/>
    </xf>
    <xf numFmtId="0" fontId="116" fillId="0" borderId="29" xfId="0" applyFont="1" applyBorder="1" applyAlignment="1" applyProtection="1">
      <alignment/>
      <protection/>
    </xf>
    <xf numFmtId="0" fontId="116" fillId="0" borderId="22" xfId="0" applyFont="1" applyBorder="1" applyAlignment="1" applyProtection="1">
      <alignment/>
      <protection/>
    </xf>
    <xf numFmtId="2" fontId="116" fillId="0" borderId="26" xfId="0" applyNumberFormat="1" applyFont="1" applyFill="1" applyBorder="1" applyAlignment="1" applyProtection="1">
      <alignment/>
      <protection/>
    </xf>
    <xf numFmtId="0" fontId="116" fillId="0" borderId="40" xfId="0" applyFont="1" applyBorder="1" applyAlignment="1" applyProtection="1">
      <alignment/>
      <protection/>
    </xf>
    <xf numFmtId="0" fontId="114" fillId="0" borderId="14" xfId="0" applyFont="1" applyBorder="1" applyAlignment="1" applyProtection="1">
      <alignment/>
      <protection/>
    </xf>
    <xf numFmtId="0" fontId="114" fillId="0" borderId="7" xfId="0" applyFont="1" applyBorder="1" applyAlignment="1" applyProtection="1">
      <alignment/>
      <protection/>
    </xf>
    <xf numFmtId="0" fontId="116" fillId="0" borderId="50" xfId="0" applyFont="1" applyBorder="1" applyAlignment="1" applyProtection="1">
      <alignment/>
      <protection/>
    </xf>
    <xf numFmtId="2" fontId="116" fillId="0" borderId="49" xfId="0" applyNumberFormat="1" applyFont="1" applyFill="1" applyBorder="1" applyAlignment="1" applyProtection="1">
      <alignment/>
      <protection/>
    </xf>
    <xf numFmtId="0" fontId="116" fillId="0" borderId="31" xfId="0" applyFont="1" applyBorder="1" applyAlignment="1" applyProtection="1">
      <alignment/>
      <protection/>
    </xf>
    <xf numFmtId="0" fontId="116" fillId="0" borderId="18" xfId="0" applyFont="1" applyBorder="1" applyAlignment="1" applyProtection="1">
      <alignment/>
      <protection/>
    </xf>
    <xf numFmtId="0" fontId="121" fillId="41" borderId="0" xfId="0" applyFont="1" applyFill="1" applyAlignment="1" applyProtection="1">
      <alignment/>
      <protection/>
    </xf>
    <xf numFmtId="0" fontId="116" fillId="0" borderId="27" xfId="0" applyFont="1" applyBorder="1" applyAlignment="1" applyProtection="1">
      <alignment horizontal="left" indent="1"/>
      <protection/>
    </xf>
    <xf numFmtId="0" fontId="116" fillId="0" borderId="43" xfId="0" applyFont="1" applyFill="1" applyBorder="1" applyAlignment="1" applyProtection="1">
      <alignment/>
      <protection/>
    </xf>
    <xf numFmtId="0" fontId="116" fillId="0" borderId="57" xfId="0" applyFont="1" applyBorder="1" applyAlignment="1" applyProtection="1">
      <alignment/>
      <protection/>
    </xf>
    <xf numFmtId="0" fontId="0" fillId="0" borderId="41" xfId="0" applyFill="1" applyBorder="1" applyAlignment="1" applyProtection="1">
      <alignment vertical="center" wrapText="1"/>
      <protection/>
    </xf>
    <xf numFmtId="3" fontId="66" fillId="0" borderId="20" xfId="0" applyNumberFormat="1" applyFont="1" applyFill="1" applyBorder="1" applyAlignment="1" applyProtection="1">
      <alignment vertical="center" wrapText="1"/>
      <protection/>
    </xf>
    <xf numFmtId="3" fontId="66" fillId="0" borderId="29" xfId="0" applyNumberFormat="1" applyFont="1" applyFill="1" applyBorder="1" applyAlignment="1" applyProtection="1">
      <alignment vertical="center" wrapText="1"/>
      <protection/>
    </xf>
    <xf numFmtId="0" fontId="114" fillId="0" borderId="7" xfId="0" applyFont="1" applyBorder="1" applyAlignment="1" applyProtection="1">
      <alignment horizontal="center"/>
      <protection/>
    </xf>
    <xf numFmtId="0" fontId="113" fillId="0" borderId="8" xfId="0" applyFont="1" applyBorder="1" applyAlignment="1" applyProtection="1">
      <alignment horizontal="center"/>
      <protection/>
    </xf>
    <xf numFmtId="0" fontId="113" fillId="0" borderId="15" xfId="0" applyFont="1" applyBorder="1" applyAlignment="1" applyProtection="1">
      <alignment horizontal="center"/>
      <protection/>
    </xf>
    <xf numFmtId="0" fontId="113" fillId="0" borderId="8" xfId="0" applyFont="1" applyFill="1" applyBorder="1" applyAlignment="1" applyProtection="1">
      <alignment horizontal="center"/>
      <protection/>
    </xf>
    <xf numFmtId="0" fontId="0" fillId="0" borderId="0" xfId="0" applyFont="1" applyAlignment="1" applyProtection="1">
      <alignment horizontal="center"/>
      <protection/>
    </xf>
    <xf numFmtId="0" fontId="0" fillId="0" borderId="0" xfId="0" applyFont="1" applyBorder="1" applyAlignment="1" applyProtection="1">
      <alignment horizontal="center"/>
      <protection/>
    </xf>
    <xf numFmtId="0" fontId="75" fillId="0" borderId="27" xfId="0" applyFont="1" applyFill="1" applyBorder="1" applyAlignment="1" applyProtection="1">
      <alignment/>
      <protection/>
    </xf>
    <xf numFmtId="0" fontId="69" fillId="0" borderId="27" xfId="0" applyFont="1" applyBorder="1" applyAlignment="1" applyProtection="1">
      <alignment/>
      <protection/>
    </xf>
    <xf numFmtId="0" fontId="69" fillId="0" borderId="0" xfId="0" applyFont="1" applyBorder="1" applyAlignment="1" applyProtection="1">
      <alignment horizontal="center"/>
      <protection/>
    </xf>
    <xf numFmtId="0" fontId="69" fillId="0" borderId="28" xfId="0" applyFont="1" applyBorder="1" applyAlignment="1" applyProtection="1">
      <alignment/>
      <protection/>
    </xf>
    <xf numFmtId="0" fontId="77" fillId="0" borderId="27" xfId="0" applyFont="1" applyBorder="1" applyAlignment="1" applyProtection="1">
      <alignment/>
      <protection/>
    </xf>
    <xf numFmtId="0" fontId="77" fillId="0" borderId="0" xfId="0" applyFont="1" applyBorder="1" applyAlignment="1" applyProtection="1">
      <alignment/>
      <protection/>
    </xf>
    <xf numFmtId="0" fontId="77" fillId="0" borderId="0" xfId="0" applyFont="1" applyBorder="1" applyAlignment="1" applyProtection="1">
      <alignment horizontal="center"/>
      <protection/>
    </xf>
    <xf numFmtId="0" fontId="77" fillId="0" borderId="28" xfId="0" applyFont="1" applyBorder="1" applyAlignment="1" applyProtection="1">
      <alignment/>
      <protection/>
    </xf>
    <xf numFmtId="0" fontId="64" fillId="0" borderId="0" xfId="0" applyFont="1" applyAlignment="1" applyProtection="1">
      <alignment/>
      <protection/>
    </xf>
    <xf numFmtId="1" fontId="122" fillId="0" borderId="0" xfId="0" applyNumberFormat="1" applyFont="1" applyAlignment="1" applyProtection="1">
      <alignment/>
      <protection/>
    </xf>
    <xf numFmtId="0" fontId="12" fillId="42" borderId="0" xfId="0" applyFont="1" applyFill="1" applyBorder="1" applyAlignment="1" applyProtection="1">
      <alignment/>
      <protection/>
    </xf>
    <xf numFmtId="0" fontId="12" fillId="42" borderId="19" xfId="0" applyFont="1" applyFill="1" applyBorder="1" applyAlignment="1" applyProtection="1">
      <alignment/>
      <protection/>
    </xf>
    <xf numFmtId="0" fontId="45" fillId="38" borderId="33" xfId="0" applyFont="1" applyFill="1" applyBorder="1" applyAlignment="1" applyProtection="1">
      <alignment horizontal="center" vertical="center" wrapText="1"/>
      <protection/>
    </xf>
    <xf numFmtId="0" fontId="45" fillId="38" borderId="8" xfId="0" applyFont="1" applyFill="1" applyBorder="1" applyAlignment="1" applyProtection="1">
      <alignment horizontal="center" vertical="center" wrapText="1"/>
      <protection/>
    </xf>
    <xf numFmtId="0" fontId="45" fillId="38" borderId="15" xfId="0" applyFont="1" applyFill="1" applyBorder="1" applyAlignment="1" applyProtection="1">
      <alignment horizontal="center" vertical="center" wrapText="1"/>
      <protection/>
    </xf>
    <xf numFmtId="0" fontId="45" fillId="38" borderId="34" xfId="0" applyFont="1" applyFill="1" applyBorder="1" applyAlignment="1" applyProtection="1">
      <alignment horizontal="center" vertical="center" wrapText="1"/>
      <protection/>
    </xf>
    <xf numFmtId="9" fontId="69" fillId="40" borderId="20" xfId="0" applyNumberFormat="1" applyFont="1" applyFill="1" applyBorder="1" applyAlignment="1" applyProtection="1">
      <alignment horizontal="center"/>
      <protection/>
    </xf>
    <xf numFmtId="4" fontId="69" fillId="40" borderId="20" xfId="0" applyNumberFormat="1" applyFont="1" applyFill="1" applyBorder="1" applyAlignment="1" applyProtection="1">
      <alignment/>
      <protection/>
    </xf>
    <xf numFmtId="172" fontId="69" fillId="40" borderId="17" xfId="0" applyNumberFormat="1" applyFont="1" applyFill="1" applyBorder="1" applyAlignment="1" applyProtection="1">
      <alignment horizontal="center" vertical="center" wrapText="1"/>
      <protection/>
    </xf>
    <xf numFmtId="4" fontId="69" fillId="40" borderId="29" xfId="0" applyNumberFormat="1" applyFont="1" applyFill="1" applyBorder="1" applyAlignment="1" applyProtection="1">
      <alignment horizontal="center"/>
      <protection/>
    </xf>
    <xf numFmtId="9" fontId="84" fillId="40" borderId="16" xfId="144" applyFont="1" applyFill="1" applyBorder="1" applyAlignment="1" applyProtection="1">
      <alignment horizontal="center"/>
      <protection/>
    </xf>
    <xf numFmtId="0" fontId="12" fillId="40" borderId="8" xfId="0" applyFont="1" applyFill="1" applyBorder="1" applyAlignment="1" applyProtection="1">
      <alignment/>
      <protection/>
    </xf>
    <xf numFmtId="9" fontId="12" fillId="40" borderId="8" xfId="0" applyNumberFormat="1" applyFont="1" applyFill="1" applyBorder="1" applyAlignment="1" applyProtection="1">
      <alignment/>
      <protection/>
    </xf>
    <xf numFmtId="0" fontId="69" fillId="40" borderId="20" xfId="0" applyFont="1" applyFill="1" applyBorder="1" applyAlignment="1" applyProtection="1">
      <alignment horizontal="center"/>
      <protection/>
    </xf>
    <xf numFmtId="1" fontId="12" fillId="42" borderId="8" xfId="0" applyNumberFormat="1" applyFont="1" applyFill="1" applyBorder="1" applyAlignment="1" applyProtection="1">
      <alignment/>
      <protection/>
    </xf>
    <xf numFmtId="9" fontId="12" fillId="42" borderId="8" xfId="144" applyFont="1" applyFill="1" applyBorder="1" applyAlignment="1" applyProtection="1">
      <alignment/>
      <protection/>
    </xf>
    <xf numFmtId="9" fontId="12" fillId="42" borderId="8" xfId="0" applyNumberFormat="1" applyFont="1" applyFill="1" applyBorder="1" applyAlignment="1" applyProtection="1">
      <alignment/>
      <protection/>
    </xf>
    <xf numFmtId="0" fontId="69" fillId="0" borderId="32" xfId="0" applyFont="1" applyBorder="1" applyAlignment="1" applyProtection="1">
      <alignment/>
      <protection/>
    </xf>
    <xf numFmtId="9" fontId="69" fillId="40" borderId="26" xfId="0" applyNumberFormat="1" applyFont="1" applyFill="1" applyBorder="1" applyAlignment="1" applyProtection="1">
      <alignment horizontal="center"/>
      <protection/>
    </xf>
    <xf numFmtId="4" fontId="69" fillId="40" borderId="26" xfId="0" applyNumberFormat="1" applyFont="1" applyFill="1" applyBorder="1" applyAlignment="1" applyProtection="1">
      <alignment/>
      <protection/>
    </xf>
    <xf numFmtId="172" fontId="69" fillId="40" borderId="26" xfId="144" applyNumberFormat="1" applyFont="1" applyFill="1" applyBorder="1" applyAlignment="1" applyProtection="1">
      <alignment horizontal="center"/>
      <protection/>
    </xf>
    <xf numFmtId="172" fontId="69" fillId="40" borderId="25" xfId="0" applyNumberFormat="1" applyFont="1" applyFill="1" applyBorder="1" applyAlignment="1" applyProtection="1">
      <alignment horizontal="center" vertical="center" wrapText="1"/>
      <protection/>
    </xf>
    <xf numFmtId="4" fontId="69" fillId="40" borderId="40" xfId="0" applyNumberFormat="1" applyFont="1" applyFill="1" applyBorder="1" applyAlignment="1" applyProtection="1">
      <alignment horizontal="center"/>
      <protection/>
    </xf>
    <xf numFmtId="1" fontId="12" fillId="40" borderId="8" xfId="0" applyNumberFormat="1" applyFont="1" applyFill="1" applyBorder="1" applyAlignment="1" applyProtection="1">
      <alignment/>
      <protection/>
    </xf>
    <xf numFmtId="9" fontId="69" fillId="40" borderId="24" xfId="0" applyNumberFormat="1" applyFont="1" applyFill="1" applyBorder="1" applyAlignment="1" applyProtection="1">
      <alignment horizontal="center"/>
      <protection/>
    </xf>
    <xf numFmtId="4" fontId="69" fillId="40" borderId="24" xfId="0" applyNumberFormat="1" applyFont="1" applyFill="1" applyBorder="1" applyAlignment="1" applyProtection="1">
      <alignment/>
      <protection/>
    </xf>
    <xf numFmtId="172" fontId="69" fillId="40" borderId="24" xfId="144" applyNumberFormat="1" applyFont="1" applyFill="1" applyBorder="1" applyAlignment="1" applyProtection="1">
      <alignment horizontal="center"/>
      <protection/>
    </xf>
    <xf numFmtId="172" fontId="69" fillId="40" borderId="23" xfId="0" applyNumberFormat="1" applyFont="1" applyFill="1" applyBorder="1" applyAlignment="1" applyProtection="1">
      <alignment horizontal="center" vertical="center" wrapText="1"/>
      <protection/>
    </xf>
    <xf numFmtId="172" fontId="69" fillId="40" borderId="29" xfId="144" applyNumberFormat="1" applyFont="1" applyFill="1" applyBorder="1" applyAlignment="1" applyProtection="1">
      <alignment horizontal="center"/>
      <protection/>
    </xf>
    <xf numFmtId="172" fontId="69" fillId="40" borderId="40" xfId="144" applyNumberFormat="1" applyFont="1" applyFill="1" applyBorder="1" applyAlignment="1" applyProtection="1">
      <alignment horizontal="center"/>
      <protection/>
    </xf>
    <xf numFmtId="4" fontId="69" fillId="0" borderId="24" xfId="0" applyNumberFormat="1" applyFont="1" applyFill="1" applyBorder="1" applyAlignment="1" applyProtection="1">
      <alignment/>
      <protection/>
    </xf>
    <xf numFmtId="172" fontId="69" fillId="0" borderId="24" xfId="144" applyNumberFormat="1" applyFont="1" applyFill="1" applyBorder="1" applyAlignment="1" applyProtection="1">
      <alignment horizontal="center"/>
      <protection/>
    </xf>
    <xf numFmtId="172" fontId="69" fillId="0" borderId="23" xfId="0" applyNumberFormat="1" applyFont="1" applyFill="1" applyBorder="1" applyAlignment="1" applyProtection="1">
      <alignment horizontal="center" vertical="center" wrapText="1"/>
      <protection/>
    </xf>
    <xf numFmtId="3" fontId="69" fillId="40" borderId="29" xfId="0" applyNumberFormat="1" applyFont="1" applyFill="1" applyBorder="1" applyAlignment="1" applyProtection="1">
      <alignment horizontal="center"/>
      <protection/>
    </xf>
    <xf numFmtId="3" fontId="69" fillId="40" borderId="40" xfId="0" applyNumberFormat="1" applyFont="1" applyFill="1" applyBorder="1" applyAlignment="1" applyProtection="1">
      <alignment horizontal="center"/>
      <protection/>
    </xf>
    <xf numFmtId="184" fontId="69" fillId="40" borderId="29" xfId="0" applyNumberFormat="1" applyFont="1" applyFill="1" applyBorder="1" applyAlignment="1" applyProtection="1">
      <alignment horizontal="center"/>
      <protection/>
    </xf>
    <xf numFmtId="184" fontId="69" fillId="40" borderId="40" xfId="0" applyNumberFormat="1" applyFont="1" applyFill="1" applyBorder="1" applyAlignment="1" applyProtection="1">
      <alignment horizontal="center"/>
      <protection/>
    </xf>
    <xf numFmtId="0" fontId="69" fillId="0" borderId="43" xfId="0" applyFont="1" applyBorder="1" applyAlignment="1" applyProtection="1">
      <alignment/>
      <protection/>
    </xf>
    <xf numFmtId="0" fontId="69" fillId="0" borderId="44" xfId="0" applyFont="1" applyBorder="1" applyAlignment="1" applyProtection="1">
      <alignment/>
      <protection/>
    </xf>
    <xf numFmtId="0" fontId="69" fillId="0" borderId="44" xfId="0" applyFont="1" applyBorder="1" applyAlignment="1" applyProtection="1">
      <alignment horizontal="center"/>
      <protection/>
    </xf>
    <xf numFmtId="0" fontId="69" fillId="0" borderId="47" xfId="0" applyFont="1" applyBorder="1" applyAlignment="1" applyProtection="1">
      <alignment/>
      <protection/>
    </xf>
    <xf numFmtId="0" fontId="69" fillId="0" borderId="0" xfId="0" applyFont="1" applyAlignment="1" applyProtection="1">
      <alignment/>
      <protection/>
    </xf>
    <xf numFmtId="0" fontId="69" fillId="0" borderId="31" xfId="0" applyFont="1" applyBorder="1" applyAlignment="1" applyProtection="1">
      <alignment/>
      <protection/>
    </xf>
    <xf numFmtId="0" fontId="69" fillId="0" borderId="18" xfId="0" applyFont="1" applyBorder="1" applyAlignment="1" applyProtection="1">
      <alignment/>
      <protection/>
    </xf>
    <xf numFmtId="0" fontId="69" fillId="0" borderId="35" xfId="0" applyFont="1" applyBorder="1" applyAlignment="1" applyProtection="1">
      <alignment/>
      <protection/>
    </xf>
    <xf numFmtId="0" fontId="77" fillId="0" borderId="27" xfId="0" applyFont="1" applyBorder="1" applyAlignment="1" applyProtection="1">
      <alignment horizontal="center"/>
      <protection/>
    </xf>
    <xf numFmtId="0" fontId="69" fillId="0" borderId="27" xfId="0" applyFont="1" applyBorder="1" applyAlignment="1" applyProtection="1">
      <alignment horizontal="center"/>
      <protection/>
    </xf>
    <xf numFmtId="0" fontId="77" fillId="0" borderId="27" xfId="0" applyFont="1" applyBorder="1" applyAlignment="1" applyProtection="1">
      <alignment horizontal="left"/>
      <protection/>
    </xf>
    <xf numFmtId="0" fontId="13" fillId="0" borderId="37" xfId="0" applyFont="1" applyFill="1" applyBorder="1" applyAlignment="1" applyProtection="1" quotePrefix="1">
      <alignment horizontal="centerContinuous" vertical="center"/>
      <protection/>
    </xf>
    <xf numFmtId="0" fontId="45" fillId="0" borderId="20" xfId="0" applyFont="1" applyBorder="1" applyAlignment="1" applyProtection="1">
      <alignment/>
      <protection/>
    </xf>
    <xf numFmtId="0" fontId="69" fillId="0" borderId="20" xfId="0" applyFont="1" applyBorder="1" applyAlignment="1" applyProtection="1">
      <alignment/>
      <protection/>
    </xf>
    <xf numFmtId="1" fontId="66" fillId="0" borderId="29" xfId="0" applyNumberFormat="1" applyFont="1" applyBorder="1" applyAlignment="1" applyProtection="1">
      <alignment/>
      <protection/>
    </xf>
    <xf numFmtId="0" fontId="13" fillId="0" borderId="41" xfId="0" applyFont="1" applyFill="1" applyBorder="1" applyAlignment="1" applyProtection="1">
      <alignment horizontal="center" vertical="center"/>
      <protection/>
    </xf>
    <xf numFmtId="0" fontId="16" fillId="0" borderId="41" xfId="0" applyFont="1" applyFill="1" applyBorder="1" applyAlignment="1" applyProtection="1">
      <alignment horizontal="center" vertical="center"/>
      <protection/>
    </xf>
    <xf numFmtId="0" fontId="66" fillId="0" borderId="20" xfId="0" applyFont="1" applyBorder="1" applyAlignment="1" applyProtection="1">
      <alignment/>
      <protection/>
    </xf>
    <xf numFmtId="3" fontId="66" fillId="0" borderId="20" xfId="0" applyNumberFormat="1" applyFont="1" applyBorder="1" applyAlignment="1" applyProtection="1">
      <alignment/>
      <protection/>
    </xf>
    <xf numFmtId="3" fontId="66" fillId="0" borderId="29" xfId="0" applyNumberFormat="1" applyFont="1" applyBorder="1" applyAlignment="1" applyProtection="1">
      <alignment/>
      <protection/>
    </xf>
    <xf numFmtId="10" fontId="18" fillId="0" borderId="41" xfId="0" applyNumberFormat="1" applyFont="1" applyFill="1" applyBorder="1" applyAlignment="1" applyProtection="1">
      <alignment horizontal="center" vertical="center"/>
      <protection/>
    </xf>
    <xf numFmtId="0" fontId="45" fillId="0" borderId="20" xfId="0" applyFont="1" applyFill="1" applyBorder="1" applyAlignment="1" applyProtection="1">
      <alignment/>
      <protection/>
    </xf>
    <xf numFmtId="0" fontId="69" fillId="0" borderId="41" xfId="0" applyFont="1" applyBorder="1" applyAlignment="1" applyProtection="1">
      <alignment/>
      <protection/>
    </xf>
    <xf numFmtId="0" fontId="45" fillId="0" borderId="26" xfId="0" applyFont="1" applyFill="1" applyBorder="1" applyAlignment="1" applyProtection="1">
      <alignment/>
      <protection/>
    </xf>
    <xf numFmtId="0" fontId="69" fillId="0" borderId="26" xfId="0" applyFont="1" applyBorder="1" applyAlignment="1" applyProtection="1">
      <alignment/>
      <protection/>
    </xf>
    <xf numFmtId="1" fontId="66" fillId="0" borderId="26" xfId="0" applyNumberFormat="1" applyFont="1" applyBorder="1" applyAlignment="1" applyProtection="1">
      <alignment/>
      <protection/>
    </xf>
    <xf numFmtId="1" fontId="66" fillId="0" borderId="40" xfId="0" applyNumberFormat="1" applyFont="1" applyBorder="1" applyAlignment="1" applyProtection="1">
      <alignment/>
      <protection/>
    </xf>
    <xf numFmtId="0" fontId="69" fillId="0" borderId="39" xfId="0" applyFont="1" applyBorder="1" applyAlignment="1" applyProtection="1">
      <alignment/>
      <protection/>
    </xf>
    <xf numFmtId="0" fontId="65" fillId="0" borderId="8" xfId="0" applyFont="1" applyFill="1" applyBorder="1" applyAlignment="1" applyProtection="1">
      <alignment horizontal="center"/>
      <protection/>
    </xf>
    <xf numFmtId="0" fontId="77" fillId="0" borderId="8" xfId="0" applyFont="1" applyBorder="1" applyAlignment="1" applyProtection="1">
      <alignment/>
      <protection/>
    </xf>
    <xf numFmtId="172" fontId="67" fillId="0" borderId="8" xfId="144" applyNumberFormat="1" applyFont="1" applyBorder="1" applyAlignment="1" applyProtection="1">
      <alignment/>
      <protection/>
    </xf>
    <xf numFmtId="172" fontId="67" fillId="0" borderId="34" xfId="144" applyNumberFormat="1" applyFont="1" applyBorder="1" applyAlignment="1" applyProtection="1">
      <alignment/>
      <protection/>
    </xf>
    <xf numFmtId="0" fontId="65" fillId="0" borderId="0" xfId="0" applyFont="1" applyFill="1" applyBorder="1" applyAlignment="1" applyProtection="1">
      <alignment horizontal="center"/>
      <protection/>
    </xf>
    <xf numFmtId="172" fontId="67" fillId="0" borderId="0" xfId="144" applyNumberFormat="1" applyFont="1" applyBorder="1" applyAlignment="1" applyProtection="1">
      <alignment/>
      <protection/>
    </xf>
    <xf numFmtId="172" fontId="67" fillId="0" borderId="28" xfId="144" applyNumberFormat="1" applyFont="1" applyBorder="1" applyAlignment="1" applyProtection="1">
      <alignment/>
      <protection/>
    </xf>
    <xf numFmtId="0" fontId="85" fillId="0" borderId="32" xfId="0" applyFont="1" applyBorder="1" applyAlignment="1" applyProtection="1">
      <alignment/>
      <protection/>
    </xf>
    <xf numFmtId="0" fontId="69" fillId="0" borderId="0" xfId="0" applyFont="1" applyAlignment="1" applyProtection="1">
      <alignment horizontal="center"/>
      <protection/>
    </xf>
    <xf numFmtId="0" fontId="69" fillId="0" borderId="37" xfId="0" applyFont="1" applyBorder="1" applyAlignment="1" applyProtection="1">
      <alignment/>
      <protection/>
    </xf>
    <xf numFmtId="0" fontId="69" fillId="0" borderId="24" xfId="0" applyFont="1" applyBorder="1" applyAlignment="1" applyProtection="1">
      <alignment/>
      <protection/>
    </xf>
    <xf numFmtId="0" fontId="69" fillId="0" borderId="38" xfId="0" applyFont="1" applyBorder="1" applyAlignment="1" applyProtection="1">
      <alignment/>
      <protection/>
    </xf>
    <xf numFmtId="0" fontId="69" fillId="0" borderId="41" xfId="0" applyFont="1" applyBorder="1" applyAlignment="1" applyProtection="1">
      <alignment horizontal="center"/>
      <protection/>
    </xf>
    <xf numFmtId="3" fontId="69" fillId="0" borderId="20" xfId="0" applyNumberFormat="1" applyFont="1" applyBorder="1" applyAlignment="1" applyProtection="1">
      <alignment/>
      <protection/>
    </xf>
    <xf numFmtId="3" fontId="69" fillId="0" borderId="29" xfId="0" applyNumberFormat="1" applyFont="1" applyBorder="1" applyAlignment="1" applyProtection="1">
      <alignment/>
      <protection/>
    </xf>
    <xf numFmtId="0" fontId="69" fillId="0" borderId="33" xfId="0" applyFont="1" applyBorder="1" applyAlignment="1" applyProtection="1">
      <alignment horizontal="center"/>
      <protection/>
    </xf>
    <xf numFmtId="3" fontId="77" fillId="0" borderId="8" xfId="0" applyNumberFormat="1" applyFont="1" applyBorder="1" applyAlignment="1" applyProtection="1">
      <alignment/>
      <protection/>
    </xf>
    <xf numFmtId="3" fontId="77" fillId="0" borderId="34" xfId="0" applyNumberFormat="1" applyFont="1" applyBorder="1" applyAlignment="1" applyProtection="1">
      <alignment/>
      <protection/>
    </xf>
    <xf numFmtId="0" fontId="85" fillId="0" borderId="27" xfId="0" applyFont="1" applyBorder="1" applyAlignment="1" applyProtection="1">
      <alignment/>
      <protection/>
    </xf>
    <xf numFmtId="0" fontId="10" fillId="0" borderId="58" xfId="0" applyFont="1" applyFill="1" applyBorder="1" applyAlignment="1" applyProtection="1">
      <alignment horizontal="center" vertical="center"/>
      <protection/>
    </xf>
    <xf numFmtId="3" fontId="13" fillId="0" borderId="55" xfId="0" applyNumberFormat="1" applyFont="1" applyFill="1" applyBorder="1" applyAlignment="1" applyProtection="1">
      <alignment horizontal="centerContinuous" vertical="center"/>
      <protection/>
    </xf>
    <xf numFmtId="3" fontId="14" fillId="0" borderId="59" xfId="0" applyNumberFormat="1" applyFont="1" applyFill="1" applyBorder="1" applyAlignment="1" applyProtection="1">
      <alignment horizontal="centerContinuous" vertical="center"/>
      <protection/>
    </xf>
    <xf numFmtId="0" fontId="10" fillId="0" borderId="32" xfId="0" applyFont="1" applyFill="1" applyBorder="1" applyAlignment="1" applyProtection="1">
      <alignment horizontal="center" vertical="center"/>
      <protection/>
    </xf>
    <xf numFmtId="3" fontId="15" fillId="0" borderId="26" xfId="0" applyNumberFormat="1" applyFont="1" applyFill="1" applyBorder="1" applyAlignment="1" applyProtection="1">
      <alignment horizontal="center" vertical="center" wrapText="1"/>
      <protection/>
    </xf>
    <xf numFmtId="3" fontId="15" fillId="0" borderId="40" xfId="0" applyNumberFormat="1" applyFont="1" applyFill="1" applyBorder="1" applyAlignment="1" applyProtection="1">
      <alignment horizontal="center" vertical="center" wrapText="1"/>
      <protection/>
    </xf>
    <xf numFmtId="0" fontId="11" fillId="0" borderId="27" xfId="0" applyFont="1" applyFill="1" applyBorder="1" applyAlignment="1" applyProtection="1">
      <alignment vertical="center"/>
      <protection/>
    </xf>
    <xf numFmtId="0" fontId="11" fillId="0" borderId="43" xfId="0" applyFont="1" applyFill="1" applyBorder="1" applyAlignment="1" applyProtection="1">
      <alignment vertical="center"/>
      <protection/>
    </xf>
    <xf numFmtId="172" fontId="2" fillId="0" borderId="49" xfId="0" applyNumberFormat="1" applyFont="1" applyFill="1" applyBorder="1" applyAlignment="1" applyProtection="1">
      <alignment horizontal="center" vertical="center"/>
      <protection/>
    </xf>
    <xf numFmtId="172" fontId="2" fillId="0" borderId="47" xfId="0" applyNumberFormat="1" applyFont="1" applyFill="1" applyBorder="1" applyAlignment="1" applyProtection="1">
      <alignment horizontal="center" vertical="center"/>
      <protection/>
    </xf>
    <xf numFmtId="9" fontId="69" fillId="0" borderId="0" xfId="0" applyNumberFormat="1" applyFont="1" applyBorder="1" applyAlignment="1" applyProtection="1">
      <alignment/>
      <protection/>
    </xf>
    <xf numFmtId="0" fontId="69" fillId="0" borderId="14" xfId="0" applyFont="1" applyBorder="1" applyAlignment="1" applyProtection="1">
      <alignment/>
      <protection/>
    </xf>
    <xf numFmtId="0" fontId="69" fillId="0" borderId="7" xfId="0" applyFont="1" applyBorder="1" applyAlignment="1" applyProtection="1">
      <alignment/>
      <protection/>
    </xf>
    <xf numFmtId="0" fontId="69" fillId="0" borderId="29" xfId="0" applyFont="1" applyBorder="1" applyAlignment="1" applyProtection="1">
      <alignment/>
      <protection/>
    </xf>
    <xf numFmtId="0" fontId="45" fillId="0" borderId="33" xfId="0" applyFont="1" applyBorder="1" applyAlignment="1" applyProtection="1">
      <alignment/>
      <protection/>
    </xf>
    <xf numFmtId="0" fontId="45" fillId="0" borderId="8" xfId="0" applyFont="1" applyBorder="1" applyAlignment="1" applyProtection="1">
      <alignment/>
      <protection/>
    </xf>
    <xf numFmtId="1" fontId="45" fillId="0" borderId="34" xfId="0" applyNumberFormat="1" applyFont="1" applyBorder="1" applyAlignment="1" applyProtection="1">
      <alignment/>
      <protection/>
    </xf>
    <xf numFmtId="0" fontId="45" fillId="0" borderId="37" xfId="0" applyFont="1" applyBorder="1" applyAlignment="1" applyProtection="1">
      <alignment/>
      <protection/>
    </xf>
    <xf numFmtId="0" fontId="45" fillId="0" borderId="24" xfId="0" applyFont="1" applyBorder="1" applyAlignment="1" applyProtection="1">
      <alignment/>
      <protection/>
    </xf>
    <xf numFmtId="1" fontId="45" fillId="0" borderId="8" xfId="46" applyNumberFormat="1" applyFont="1" applyFill="1" applyBorder="1" applyAlignment="1" applyProtection="1">
      <alignment horizontal="right" vertical="top" wrapText="1"/>
      <protection/>
    </xf>
    <xf numFmtId="1" fontId="45" fillId="0" borderId="34" xfId="46" applyNumberFormat="1" applyFont="1" applyFill="1" applyBorder="1" applyAlignment="1" applyProtection="1">
      <alignment horizontal="right" vertical="top" wrapText="1"/>
      <protection/>
    </xf>
    <xf numFmtId="1" fontId="45" fillId="0" borderId="24" xfId="0" applyNumberFormat="1" applyFont="1" applyBorder="1" applyAlignment="1" applyProtection="1">
      <alignment/>
      <protection/>
    </xf>
    <xf numFmtId="1" fontId="45" fillId="0" borderId="38" xfId="0" applyNumberFormat="1" applyFont="1" applyBorder="1" applyAlignment="1" applyProtection="1">
      <alignment/>
      <protection/>
    </xf>
    <xf numFmtId="1" fontId="69" fillId="0" borderId="24" xfId="0" applyNumberFormat="1" applyFont="1" applyBorder="1" applyAlignment="1" applyProtection="1">
      <alignment/>
      <protection/>
    </xf>
    <xf numFmtId="1" fontId="69" fillId="0" borderId="38" xfId="0" applyNumberFormat="1" applyFont="1" applyBorder="1" applyAlignment="1" applyProtection="1">
      <alignment/>
      <protection/>
    </xf>
    <xf numFmtId="1" fontId="69" fillId="0" borderId="0" xfId="0" applyNumberFormat="1" applyFont="1" applyBorder="1" applyAlignment="1" applyProtection="1">
      <alignment/>
      <protection/>
    </xf>
    <xf numFmtId="1" fontId="69" fillId="0" borderId="20" xfId="0" applyNumberFormat="1" applyFont="1" applyBorder="1" applyAlignment="1" applyProtection="1">
      <alignment/>
      <protection/>
    </xf>
    <xf numFmtId="1" fontId="69" fillId="0" borderId="29" xfId="0" applyNumberFormat="1" applyFont="1" applyBorder="1" applyAlignment="1" applyProtection="1">
      <alignment/>
      <protection/>
    </xf>
    <xf numFmtId="0" fontId="77" fillId="0" borderId="20" xfId="0" applyFont="1" applyBorder="1" applyAlignment="1" applyProtection="1">
      <alignment/>
      <protection/>
    </xf>
    <xf numFmtId="1" fontId="77" fillId="0" borderId="20" xfId="0" applyNumberFormat="1" applyFont="1" applyBorder="1" applyAlignment="1" applyProtection="1">
      <alignment/>
      <protection/>
    </xf>
    <xf numFmtId="1" fontId="77" fillId="0" borderId="29" xfId="0" applyNumberFormat="1" applyFont="1" applyBorder="1" applyAlignment="1" applyProtection="1">
      <alignment/>
      <protection/>
    </xf>
    <xf numFmtId="0" fontId="69" fillId="0" borderId="48" xfId="0" applyFont="1" applyBorder="1" applyAlignment="1" applyProtection="1">
      <alignment/>
      <protection/>
    </xf>
    <xf numFmtId="0" fontId="69" fillId="0" borderId="49" xfId="0" applyFont="1" applyBorder="1" applyAlignment="1" applyProtection="1">
      <alignment/>
      <protection/>
    </xf>
    <xf numFmtId="1" fontId="69" fillId="0" borderId="49" xfId="0" applyNumberFormat="1" applyFont="1" applyBorder="1" applyAlignment="1" applyProtection="1">
      <alignment/>
      <protection/>
    </xf>
    <xf numFmtId="1" fontId="69" fillId="0" borderId="50" xfId="0" applyNumberFormat="1" applyFont="1" applyBorder="1" applyAlignment="1" applyProtection="1">
      <alignment/>
      <protection/>
    </xf>
    <xf numFmtId="0" fontId="123" fillId="0" borderId="8" xfId="0" applyFont="1" applyFill="1" applyBorder="1" applyAlignment="1" applyProtection="1">
      <alignment horizontal="center" vertical="top" wrapText="1"/>
      <protection/>
    </xf>
    <xf numFmtId="0" fontId="123" fillId="0" borderId="8" xfId="0" applyFont="1" applyFill="1" applyBorder="1" applyAlignment="1" applyProtection="1">
      <alignment horizontal="left" vertical="top" wrapText="1"/>
      <protection/>
    </xf>
    <xf numFmtId="0" fontId="124" fillId="0" borderId="8" xfId="0" applyFont="1" applyFill="1" applyBorder="1" applyAlignment="1" applyProtection="1">
      <alignment horizontal="center" wrapText="1"/>
      <protection/>
    </xf>
    <xf numFmtId="0" fontId="116" fillId="0" borderId="8" xfId="0" applyFont="1" applyBorder="1" applyAlignment="1" applyProtection="1">
      <alignment/>
      <protection/>
    </xf>
    <xf numFmtId="183" fontId="116" fillId="0" borderId="8" xfId="0" applyNumberFormat="1" applyFont="1" applyFill="1" applyBorder="1" applyAlignment="1" applyProtection="1">
      <alignment horizontal="center"/>
      <protection/>
    </xf>
    <xf numFmtId="0" fontId="66" fillId="0" borderId="24" xfId="0" applyFont="1" applyBorder="1" applyAlignment="1" applyProtection="1">
      <alignment/>
      <protection/>
    </xf>
    <xf numFmtId="0" fontId="66" fillId="0" borderId="38" xfId="0" applyFont="1" applyBorder="1" applyAlignment="1" applyProtection="1">
      <alignment/>
      <protection/>
    </xf>
    <xf numFmtId="0" fontId="66" fillId="0" borderId="29" xfId="0" applyFont="1" applyBorder="1" applyAlignment="1" applyProtection="1">
      <alignment/>
      <protection/>
    </xf>
    <xf numFmtId="0" fontId="88" fillId="0" borderId="8" xfId="0" applyFont="1" applyBorder="1" applyAlignment="1" applyProtection="1">
      <alignment/>
      <protection/>
    </xf>
    <xf numFmtId="1" fontId="88" fillId="0" borderId="8" xfId="0" applyNumberFormat="1" applyFont="1" applyBorder="1" applyAlignment="1" applyProtection="1">
      <alignment/>
      <protection/>
    </xf>
    <xf numFmtId="1" fontId="88" fillId="0" borderId="34" xfId="0" applyNumberFormat="1" applyFont="1" applyBorder="1" applyAlignment="1" applyProtection="1">
      <alignment/>
      <protection/>
    </xf>
    <xf numFmtId="0" fontId="88" fillId="0" borderId="24" xfId="0" applyFont="1" applyBorder="1" applyAlignment="1" applyProtection="1">
      <alignment/>
      <protection/>
    </xf>
    <xf numFmtId="1" fontId="88" fillId="0" borderId="24" xfId="0" applyNumberFormat="1" applyFont="1" applyBorder="1" applyAlignment="1" applyProtection="1">
      <alignment/>
      <protection/>
    </xf>
    <xf numFmtId="1" fontId="88" fillId="0" borderId="38" xfId="0" applyNumberFormat="1" applyFont="1" applyBorder="1" applyAlignment="1" applyProtection="1">
      <alignment/>
      <protection/>
    </xf>
    <xf numFmtId="1" fontId="66" fillId="0" borderId="38" xfId="0" applyNumberFormat="1" applyFont="1" applyBorder="1" applyAlignment="1" applyProtection="1">
      <alignment/>
      <protection/>
    </xf>
    <xf numFmtId="1" fontId="66" fillId="0" borderId="0" xfId="0" applyNumberFormat="1" applyFont="1" applyBorder="1" applyAlignment="1" applyProtection="1">
      <alignment/>
      <protection/>
    </xf>
    <xf numFmtId="0" fontId="67" fillId="0" borderId="20" xfId="0" applyFont="1" applyBorder="1" applyAlignment="1" applyProtection="1">
      <alignment/>
      <protection/>
    </xf>
    <xf numFmtId="1" fontId="67" fillId="0" borderId="20" xfId="0" applyNumberFormat="1" applyFont="1" applyBorder="1" applyAlignment="1" applyProtection="1">
      <alignment/>
      <protection/>
    </xf>
    <xf numFmtId="1" fontId="67" fillId="0" borderId="29" xfId="0" applyNumberFormat="1" applyFont="1" applyBorder="1" applyAlignment="1" applyProtection="1">
      <alignment/>
      <protection/>
    </xf>
    <xf numFmtId="0" fontId="66" fillId="0" borderId="49" xfId="0" applyFont="1" applyBorder="1" applyAlignment="1" applyProtection="1">
      <alignment/>
      <protection/>
    </xf>
    <xf numFmtId="1" fontId="66" fillId="0" borderId="49" xfId="0" applyNumberFormat="1" applyFont="1" applyBorder="1" applyAlignment="1" applyProtection="1">
      <alignment/>
      <protection/>
    </xf>
    <xf numFmtId="1" fontId="66" fillId="0" borderId="50" xfId="0" applyNumberFormat="1" applyFont="1" applyBorder="1" applyAlignment="1" applyProtection="1">
      <alignment/>
      <protection/>
    </xf>
    <xf numFmtId="0" fontId="45" fillId="0" borderId="0" xfId="0" applyFont="1" applyFill="1" applyAlignment="1" applyProtection="1">
      <alignment/>
      <protection/>
    </xf>
    <xf numFmtId="1" fontId="45" fillId="0" borderId="0" xfId="0" applyNumberFormat="1" applyFont="1" applyFill="1" applyAlignment="1" applyProtection="1">
      <alignment/>
      <protection/>
    </xf>
    <xf numFmtId="0" fontId="45" fillId="0" borderId="37" xfId="0" applyFont="1" applyFill="1" applyBorder="1" applyAlignment="1" applyProtection="1">
      <alignment horizontal="right"/>
      <protection/>
    </xf>
    <xf numFmtId="0" fontId="65" fillId="0" borderId="24" xfId="0" applyFont="1" applyFill="1" applyBorder="1" applyAlignment="1" applyProtection="1">
      <alignment/>
      <protection/>
    </xf>
    <xf numFmtId="1" fontId="45" fillId="0" borderId="24" xfId="0" applyNumberFormat="1" applyFont="1" applyFill="1" applyBorder="1" applyAlignment="1" applyProtection="1">
      <alignment/>
      <protection/>
    </xf>
    <xf numFmtId="1" fontId="45" fillId="0" borderId="38" xfId="0" applyNumberFormat="1" applyFont="1" applyFill="1" applyBorder="1" applyAlignment="1" applyProtection="1">
      <alignment/>
      <protection/>
    </xf>
    <xf numFmtId="0" fontId="65" fillId="0" borderId="41" xfId="0" applyFont="1" applyFill="1" applyBorder="1" applyAlignment="1" applyProtection="1">
      <alignment horizontal="right"/>
      <protection/>
    </xf>
    <xf numFmtId="0" fontId="65" fillId="0" borderId="20" xfId="0" applyFont="1" applyFill="1" applyBorder="1" applyAlignment="1" applyProtection="1">
      <alignment/>
      <protection/>
    </xf>
    <xf numFmtId="1" fontId="65" fillId="0" borderId="29" xfId="0" applyNumberFormat="1" applyFont="1" applyFill="1" applyBorder="1" applyAlignment="1" applyProtection="1">
      <alignment/>
      <protection/>
    </xf>
    <xf numFmtId="0" fontId="45" fillId="0" borderId="41" xfId="0" applyFont="1" applyFill="1" applyBorder="1" applyAlignment="1" applyProtection="1">
      <alignment horizontal="right"/>
      <protection/>
    </xf>
    <xf numFmtId="181" fontId="45" fillId="0" borderId="20" xfId="0" applyNumberFormat="1" applyFont="1" applyFill="1" applyBorder="1" applyAlignment="1" applyProtection="1">
      <alignment horizontal="center"/>
      <protection/>
    </xf>
    <xf numFmtId="1" fontId="45" fillId="0" borderId="20" xfId="0" applyNumberFormat="1" applyFont="1" applyFill="1" applyBorder="1" applyAlignment="1" applyProtection="1">
      <alignment/>
      <protection/>
    </xf>
    <xf numFmtId="1" fontId="45" fillId="0" borderId="29" xfId="0" applyNumberFormat="1" applyFont="1" applyFill="1" applyBorder="1" applyAlignment="1" applyProtection="1">
      <alignment/>
      <protection/>
    </xf>
    <xf numFmtId="0" fontId="45" fillId="0" borderId="20" xfId="0" applyFont="1" applyFill="1" applyBorder="1" applyAlignment="1" applyProtection="1">
      <alignment horizontal="left" indent="1"/>
      <protection/>
    </xf>
    <xf numFmtId="181" fontId="45" fillId="0" borderId="20" xfId="0" applyNumberFormat="1" applyFont="1" applyFill="1" applyBorder="1" applyAlignment="1" applyProtection="1">
      <alignment/>
      <protection/>
    </xf>
    <xf numFmtId="183" fontId="45" fillId="0" borderId="20" xfId="0" applyNumberFormat="1" applyFont="1" applyFill="1" applyBorder="1" applyAlignment="1" applyProtection="1">
      <alignment/>
      <protection/>
    </xf>
    <xf numFmtId="0" fontId="45" fillId="0" borderId="41" xfId="0" applyFont="1" applyFill="1" applyBorder="1" applyAlignment="1" applyProtection="1">
      <alignment horizontal="center"/>
      <protection/>
    </xf>
    <xf numFmtId="0" fontId="65" fillId="0" borderId="33" xfId="0" applyFont="1" applyFill="1" applyBorder="1" applyAlignment="1" applyProtection="1">
      <alignment horizontal="center"/>
      <protection/>
    </xf>
    <xf numFmtId="1" fontId="65" fillId="0" borderId="8" xfId="0" applyNumberFormat="1" applyFont="1" applyFill="1" applyBorder="1" applyAlignment="1" applyProtection="1">
      <alignment/>
      <protection/>
    </xf>
    <xf numFmtId="1" fontId="65" fillId="0" borderId="34" xfId="0" applyNumberFormat="1" applyFont="1" applyFill="1" applyBorder="1" applyAlignment="1" applyProtection="1">
      <alignment/>
      <protection/>
    </xf>
    <xf numFmtId="0" fontId="65" fillId="0" borderId="41" xfId="0" applyFont="1" applyFill="1" applyBorder="1" applyAlignment="1" applyProtection="1">
      <alignment horizontal="center"/>
      <protection/>
    </xf>
    <xf numFmtId="175" fontId="65" fillId="0" borderId="20" xfId="119" applyNumberFormat="1" applyFont="1" applyFill="1" applyBorder="1" applyAlignment="1" applyProtection="1">
      <alignment horizontal="center"/>
      <protection/>
    </xf>
    <xf numFmtId="175" fontId="45" fillId="0" borderId="20" xfId="119" applyNumberFormat="1" applyFont="1" applyFill="1" applyBorder="1" applyAlignment="1" applyProtection="1">
      <alignment/>
      <protection/>
    </xf>
    <xf numFmtId="1" fontId="45" fillId="0" borderId="20" xfId="119" applyNumberFormat="1" applyFont="1" applyFill="1" applyBorder="1" applyAlignment="1" applyProtection="1">
      <alignment horizontal="center"/>
      <protection/>
    </xf>
    <xf numFmtId="0" fontId="65" fillId="38" borderId="8" xfId="0" applyFont="1" applyFill="1" applyBorder="1" applyAlignment="1" applyProtection="1">
      <alignment/>
      <protection/>
    </xf>
    <xf numFmtId="1" fontId="65" fillId="38" borderId="8" xfId="0" applyNumberFormat="1" applyFont="1" applyFill="1" applyBorder="1" applyAlignment="1" applyProtection="1">
      <alignment/>
      <protection/>
    </xf>
    <xf numFmtId="0" fontId="65" fillId="0" borderId="37" xfId="0" applyFont="1" applyFill="1" applyBorder="1" applyAlignment="1" applyProtection="1">
      <alignment horizontal="center"/>
      <protection/>
    </xf>
    <xf numFmtId="1" fontId="65" fillId="0" borderId="24" xfId="0" applyNumberFormat="1" applyFont="1" applyFill="1" applyBorder="1" applyAlignment="1" applyProtection="1">
      <alignment/>
      <protection/>
    </xf>
    <xf numFmtId="1" fontId="65" fillId="0" borderId="38" xfId="0" applyNumberFormat="1" applyFont="1" applyFill="1" applyBorder="1" applyAlignment="1" applyProtection="1">
      <alignment/>
      <protection/>
    </xf>
    <xf numFmtId="0" fontId="65" fillId="0" borderId="37" xfId="0" applyFont="1" applyFill="1" applyBorder="1" applyAlignment="1" applyProtection="1">
      <alignment horizontal="center" vertical="top" wrapText="1"/>
      <protection/>
    </xf>
    <xf numFmtId="0" fontId="65" fillId="0" borderId="24" xfId="0" applyFont="1" applyFill="1" applyBorder="1" applyAlignment="1" applyProtection="1">
      <alignment wrapText="1"/>
      <protection/>
    </xf>
    <xf numFmtId="0" fontId="65" fillId="0" borderId="33" xfId="0" applyFont="1" applyFill="1" applyBorder="1" applyAlignment="1" applyProtection="1">
      <alignment horizontal="center" vertical="center"/>
      <protection/>
    </xf>
    <xf numFmtId="1" fontId="65" fillId="0" borderId="8" xfId="0" applyNumberFormat="1" applyFont="1" applyFill="1" applyBorder="1" applyAlignment="1" applyProtection="1">
      <alignment vertical="center"/>
      <protection/>
    </xf>
    <xf numFmtId="1" fontId="65" fillId="0" borderId="34" xfId="0" applyNumberFormat="1" applyFont="1" applyFill="1" applyBorder="1" applyAlignment="1" applyProtection="1">
      <alignment vertical="center"/>
      <protection/>
    </xf>
    <xf numFmtId="0" fontId="65" fillId="0" borderId="41" xfId="0" applyFont="1" applyFill="1" applyBorder="1" applyAlignment="1" applyProtection="1">
      <alignment horizontal="center" vertical="top" wrapText="1"/>
      <protection/>
    </xf>
    <xf numFmtId="0" fontId="65" fillId="0" borderId="8" xfId="0" applyFont="1" applyFill="1" applyBorder="1" applyAlignment="1" applyProtection="1">
      <alignment vertical="center" wrapText="1"/>
      <protection/>
    </xf>
    <xf numFmtId="0" fontId="45" fillId="0" borderId="43" xfId="0" applyFont="1" applyFill="1" applyBorder="1" applyAlignment="1" applyProtection="1">
      <alignment/>
      <protection/>
    </xf>
    <xf numFmtId="0" fontId="45" fillId="0" borderId="44" xfId="0" applyFont="1" applyFill="1" applyBorder="1" applyAlignment="1" applyProtection="1">
      <alignment/>
      <protection/>
    </xf>
    <xf numFmtId="1" fontId="45" fillId="0" borderId="44" xfId="0" applyNumberFormat="1" applyFont="1" applyFill="1" applyBorder="1" applyAlignment="1" applyProtection="1">
      <alignment/>
      <protection/>
    </xf>
    <xf numFmtId="1" fontId="45" fillId="0" borderId="47" xfId="0" applyNumberFormat="1" applyFont="1" applyFill="1" applyBorder="1" applyAlignment="1" applyProtection="1">
      <alignment/>
      <protection/>
    </xf>
    <xf numFmtId="0" fontId="123" fillId="0" borderId="15" xfId="0" applyFont="1" applyFill="1" applyBorder="1" applyAlignment="1" applyProtection="1">
      <alignment vertical="top" wrapText="1"/>
      <protection/>
    </xf>
    <xf numFmtId="0" fontId="113" fillId="0" borderId="0" xfId="0" applyFont="1" applyAlignment="1" applyProtection="1">
      <alignment/>
      <protection/>
    </xf>
    <xf numFmtId="0" fontId="124" fillId="0" borderId="8" xfId="0" applyFont="1" applyFill="1" applyBorder="1" applyAlignment="1" applyProtection="1">
      <alignment horizontal="left" vertical="top" wrapText="1"/>
      <protection/>
    </xf>
    <xf numFmtId="0" fontId="124" fillId="0" borderId="15" xfId="0" applyFont="1" applyFill="1" applyBorder="1" applyAlignment="1" applyProtection="1">
      <alignment wrapText="1"/>
      <protection/>
    </xf>
    <xf numFmtId="0" fontId="125" fillId="0" borderId="8" xfId="0" applyFont="1" applyFill="1" applyBorder="1" applyAlignment="1" applyProtection="1">
      <alignment horizontal="center" wrapText="1"/>
      <protection/>
    </xf>
    <xf numFmtId="0" fontId="0" fillId="0" borderId="15" xfId="0" applyBorder="1" applyAlignment="1" applyProtection="1">
      <alignment/>
      <protection/>
    </xf>
    <xf numFmtId="0" fontId="0" fillId="0" borderId="7" xfId="0" applyBorder="1" applyAlignment="1" applyProtection="1">
      <alignment/>
      <protection/>
    </xf>
    <xf numFmtId="0" fontId="0" fillId="0" borderId="16" xfId="0" applyBorder="1" applyAlignment="1" applyProtection="1">
      <alignment/>
      <protection/>
    </xf>
    <xf numFmtId="0" fontId="0" fillId="0" borderId="8" xfId="0" applyBorder="1" applyAlignment="1" applyProtection="1">
      <alignment horizontal="center"/>
      <protection/>
    </xf>
    <xf numFmtId="175" fontId="45" fillId="0" borderId="20" xfId="0" applyNumberFormat="1" applyFont="1" applyFill="1" applyBorder="1" applyAlignment="1" applyProtection="1">
      <alignment/>
      <protection/>
    </xf>
    <xf numFmtId="0" fontId="96" fillId="0" borderId="8" xfId="0" applyFont="1" applyBorder="1" applyAlignment="1" applyProtection="1">
      <alignment/>
      <protection/>
    </xf>
    <xf numFmtId="175" fontId="0" fillId="0" borderId="0" xfId="0" applyNumberFormat="1" applyAlignment="1" applyProtection="1">
      <alignment/>
      <protection/>
    </xf>
    <xf numFmtId="0" fontId="65" fillId="38" borderId="18" xfId="0" applyFont="1" applyFill="1" applyBorder="1" applyAlignment="1" applyProtection="1">
      <alignment horizontal="center" vertical="center" wrapText="1"/>
      <protection/>
    </xf>
    <xf numFmtId="0" fontId="65" fillId="0" borderId="39" xfId="0" applyFont="1" applyFill="1" applyBorder="1" applyAlignment="1" applyProtection="1">
      <alignment horizontal="center"/>
      <protection/>
    </xf>
    <xf numFmtId="0" fontId="65" fillId="0" borderId="26" xfId="0" applyFont="1" applyFill="1" applyBorder="1" applyAlignment="1" applyProtection="1">
      <alignment/>
      <protection/>
    </xf>
    <xf numFmtId="1" fontId="65" fillId="0" borderId="26" xfId="0" applyNumberFormat="1" applyFont="1" applyFill="1" applyBorder="1" applyAlignment="1" applyProtection="1">
      <alignment/>
      <protection/>
    </xf>
    <xf numFmtId="1" fontId="65" fillId="0" borderId="40" xfId="0" applyNumberFormat="1" applyFont="1" applyFill="1" applyBorder="1" applyAlignment="1" applyProtection="1">
      <alignment/>
      <protection/>
    </xf>
    <xf numFmtId="1" fontId="45" fillId="0" borderId="0" xfId="0" applyNumberFormat="1" applyFont="1" applyFill="1" applyBorder="1" applyAlignment="1" applyProtection="1">
      <alignment/>
      <protection/>
    </xf>
    <xf numFmtId="1" fontId="45" fillId="0" borderId="28" xfId="0" applyNumberFormat="1" applyFont="1" applyFill="1" applyBorder="1" applyAlignment="1" applyProtection="1">
      <alignment/>
      <protection/>
    </xf>
    <xf numFmtId="0" fontId="75" fillId="0" borderId="0" xfId="0" applyFont="1" applyFill="1" applyBorder="1" applyAlignment="1" applyProtection="1">
      <alignment/>
      <protection/>
    </xf>
    <xf numFmtId="0" fontId="45" fillId="0" borderId="8" xfId="0" applyFont="1" applyFill="1" applyBorder="1" applyAlignment="1" applyProtection="1">
      <alignment horizontal="center" vertical="center" wrapText="1"/>
      <protection/>
    </xf>
    <xf numFmtId="1" fontId="45" fillId="0" borderId="8" xfId="0" applyNumberFormat="1" applyFont="1" applyFill="1" applyBorder="1" applyAlignment="1" applyProtection="1">
      <alignment horizontal="center"/>
      <protection/>
    </xf>
    <xf numFmtId="1" fontId="45" fillId="0" borderId="34" xfId="0" applyNumberFormat="1" applyFont="1" applyFill="1" applyBorder="1" applyAlignment="1" applyProtection="1">
      <alignment horizontal="center"/>
      <protection/>
    </xf>
    <xf numFmtId="0" fontId="45" fillId="0" borderId="24" xfId="0" applyFont="1" applyFill="1" applyBorder="1" applyAlignment="1" applyProtection="1">
      <alignment/>
      <protection/>
    </xf>
    <xf numFmtId="171" fontId="45" fillId="0" borderId="20" xfId="119" applyNumberFormat="1" applyFont="1" applyFill="1" applyBorder="1" applyAlignment="1" applyProtection="1">
      <alignment horizontal="left" wrapText="1"/>
      <protection/>
    </xf>
    <xf numFmtId="1" fontId="45" fillId="0" borderId="20" xfId="119" applyNumberFormat="1" applyFont="1" applyFill="1" applyBorder="1" applyAlignment="1" applyProtection="1">
      <alignment wrapText="1"/>
      <protection/>
    </xf>
    <xf numFmtId="1" fontId="45" fillId="0" borderId="26" xfId="0" applyNumberFormat="1" applyFont="1" applyFill="1" applyBorder="1" applyAlignment="1" applyProtection="1">
      <alignment/>
      <protection/>
    </xf>
    <xf numFmtId="1" fontId="45" fillId="0" borderId="40" xfId="0" applyNumberFormat="1" applyFont="1" applyFill="1" applyBorder="1" applyAlignment="1" applyProtection="1">
      <alignment/>
      <protection/>
    </xf>
    <xf numFmtId="0" fontId="65" fillId="0" borderId="0" xfId="0" applyFont="1" applyFill="1" applyBorder="1" applyAlignment="1" applyProtection="1">
      <alignment horizontal="center" vertical="center" wrapText="1"/>
      <protection/>
    </xf>
    <xf numFmtId="0" fontId="65" fillId="0" borderId="28" xfId="0" applyFont="1" applyFill="1" applyBorder="1" applyAlignment="1" applyProtection="1">
      <alignment horizontal="center" vertical="center" wrapText="1"/>
      <protection/>
    </xf>
    <xf numFmtId="0" fontId="45" fillId="0" borderId="28" xfId="0" applyFont="1" applyFill="1" applyBorder="1" applyAlignment="1" applyProtection="1">
      <alignment/>
      <protection/>
    </xf>
    <xf numFmtId="0" fontId="45" fillId="0" borderId="0" xfId="0" applyFont="1" applyFill="1" applyAlignment="1" applyProtection="1">
      <alignment horizontal="center"/>
      <protection/>
    </xf>
    <xf numFmtId="0" fontId="45" fillId="0" borderId="33" xfId="0" applyFont="1" applyFill="1" applyBorder="1" applyAlignment="1" applyProtection="1">
      <alignment horizontal="left" vertical="center" wrapText="1"/>
      <protection/>
    </xf>
    <xf numFmtId="3" fontId="45" fillId="0" borderId="8" xfId="0" applyNumberFormat="1" applyFont="1" applyFill="1" applyBorder="1" applyAlignment="1" applyProtection="1">
      <alignment/>
      <protection/>
    </xf>
    <xf numFmtId="3" fontId="45" fillId="0" borderId="34" xfId="0" applyNumberFormat="1" applyFont="1" applyFill="1" applyBorder="1" applyAlignment="1" applyProtection="1">
      <alignment/>
      <protection/>
    </xf>
    <xf numFmtId="184" fontId="45" fillId="0" borderId="34" xfId="0" applyNumberFormat="1" applyFont="1" applyFill="1" applyBorder="1" applyAlignment="1" applyProtection="1">
      <alignment vertical="center"/>
      <protection/>
    </xf>
    <xf numFmtId="0" fontId="45" fillId="0" borderId="0" xfId="0" applyFont="1" applyFill="1" applyAlignment="1" applyProtection="1">
      <alignment vertical="center"/>
      <protection/>
    </xf>
    <xf numFmtId="0" fontId="65" fillId="0" borderId="33" xfId="0" applyFont="1" applyFill="1" applyBorder="1" applyAlignment="1" applyProtection="1">
      <alignment horizontal="left" vertical="center" wrapText="1"/>
      <protection/>
    </xf>
    <xf numFmtId="184" fontId="45" fillId="0" borderId="8" xfId="0" applyNumberFormat="1" applyFont="1" applyFill="1" applyBorder="1" applyAlignment="1" applyProtection="1">
      <alignment/>
      <protection/>
    </xf>
    <xf numFmtId="3" fontId="45" fillId="0" borderId="8" xfId="0" applyNumberFormat="1" applyFont="1" applyFill="1" applyBorder="1" applyAlignment="1" applyProtection="1">
      <alignment vertical="center"/>
      <protection/>
    </xf>
    <xf numFmtId="3" fontId="45" fillId="0" borderId="34" xfId="0" applyNumberFormat="1" applyFont="1" applyFill="1" applyBorder="1" applyAlignment="1" applyProtection="1">
      <alignment vertical="center"/>
      <protection/>
    </xf>
    <xf numFmtId="3" fontId="45" fillId="0" borderId="8" xfId="0" applyNumberFormat="1" applyFont="1" applyFill="1" applyBorder="1" applyAlignment="1" applyProtection="1">
      <alignment horizontal="center" vertical="center"/>
      <protection/>
    </xf>
    <xf numFmtId="184" fontId="45" fillId="0" borderId="34" xfId="0" applyNumberFormat="1" applyFont="1" applyFill="1" applyBorder="1" applyAlignment="1" applyProtection="1">
      <alignment/>
      <protection/>
    </xf>
    <xf numFmtId="3" fontId="45" fillId="0" borderId="0" xfId="0" applyNumberFormat="1" applyFont="1" applyFill="1" applyBorder="1" applyAlignment="1" applyProtection="1">
      <alignment vertical="center"/>
      <protection/>
    </xf>
    <xf numFmtId="184" fontId="45" fillId="0" borderId="28" xfId="0" applyNumberFormat="1" applyFont="1" applyFill="1" applyBorder="1" applyAlignment="1" applyProtection="1">
      <alignment vertical="center"/>
      <protection/>
    </xf>
    <xf numFmtId="0" fontId="45" fillId="0" borderId="43" xfId="0" applyFont="1" applyFill="1" applyBorder="1" applyAlignment="1" applyProtection="1">
      <alignment vertical="center"/>
      <protection/>
    </xf>
    <xf numFmtId="0" fontId="45" fillId="0" borderId="44" xfId="0" applyFont="1" applyFill="1" applyBorder="1" applyAlignment="1" applyProtection="1">
      <alignment vertical="center"/>
      <protection/>
    </xf>
    <xf numFmtId="0" fontId="45" fillId="0" borderId="47" xfId="0" applyFont="1" applyFill="1" applyBorder="1" applyAlignment="1" applyProtection="1">
      <alignment vertical="center"/>
      <protection/>
    </xf>
    <xf numFmtId="174" fontId="0" fillId="0" borderId="0" xfId="0" applyNumberFormat="1" applyAlignment="1" applyProtection="1">
      <alignment/>
      <protection/>
    </xf>
    <xf numFmtId="184" fontId="45" fillId="0" borderId="8" xfId="0" applyNumberFormat="1" applyFont="1" applyFill="1" applyBorder="1" applyAlignment="1" applyProtection="1">
      <alignment horizontal="right"/>
      <protection/>
    </xf>
    <xf numFmtId="184" fontId="45" fillId="0" borderId="34" xfId="0" applyNumberFormat="1" applyFont="1" applyFill="1" applyBorder="1" applyAlignment="1" applyProtection="1">
      <alignment horizontal="right"/>
      <protection/>
    </xf>
    <xf numFmtId="0" fontId="45" fillId="0" borderId="33" xfId="0" applyFont="1" applyFill="1" applyBorder="1" applyAlignment="1" applyProtection="1">
      <alignment horizontal="left" vertical="center" wrapText="1" indent="1"/>
      <protection/>
    </xf>
    <xf numFmtId="0" fontId="45" fillId="0" borderId="33" xfId="0" applyFont="1" applyFill="1" applyBorder="1" applyAlignment="1" applyProtection="1">
      <alignment horizontal="center" vertical="center" wrapText="1"/>
      <protection/>
    </xf>
    <xf numFmtId="0" fontId="45" fillId="0" borderId="33" xfId="0" applyFont="1" applyFill="1" applyBorder="1" applyAlignment="1" applyProtection="1">
      <alignment horizontal="left" vertical="center" wrapText="1" indent="2"/>
      <protection/>
    </xf>
    <xf numFmtId="0" fontId="65" fillId="0" borderId="60" xfId="0" applyFont="1" applyFill="1" applyBorder="1" applyAlignment="1" applyProtection="1">
      <alignment horizontal="center" vertical="center" wrapText="1"/>
      <protection/>
    </xf>
    <xf numFmtId="184" fontId="45" fillId="0" borderId="61" xfId="0" applyNumberFormat="1" applyFont="1" applyFill="1" applyBorder="1" applyAlignment="1" applyProtection="1">
      <alignment/>
      <protection/>
    </xf>
    <xf numFmtId="184" fontId="45" fillId="0" borderId="62" xfId="0" applyNumberFormat="1" applyFont="1" applyFill="1" applyBorder="1" applyAlignment="1" applyProtection="1">
      <alignment/>
      <protection/>
    </xf>
    <xf numFmtId="0" fontId="73" fillId="0" borderId="27" xfId="0" applyFont="1" applyFill="1" applyBorder="1" applyAlignment="1" applyProtection="1">
      <alignment/>
      <protection/>
    </xf>
    <xf numFmtId="0" fontId="65" fillId="0" borderId="28" xfId="0" applyFont="1" applyFill="1" applyBorder="1" applyAlignment="1" applyProtection="1">
      <alignment/>
      <protection/>
    </xf>
    <xf numFmtId="0" fontId="77" fillId="0" borderId="0" xfId="0" applyFont="1" applyAlignment="1" applyProtection="1">
      <alignment/>
      <protection/>
    </xf>
    <xf numFmtId="0" fontId="116" fillId="0" borderId="0" xfId="0" applyFont="1" applyAlignment="1" applyProtection="1">
      <alignment horizontal="center"/>
      <protection/>
    </xf>
    <xf numFmtId="0" fontId="45" fillId="0" borderId="41" xfId="0" applyFont="1" applyFill="1" applyBorder="1" applyAlignment="1" applyProtection="1">
      <alignment/>
      <protection/>
    </xf>
    <xf numFmtId="0" fontId="45" fillId="0" borderId="29" xfId="0" applyFont="1" applyFill="1" applyBorder="1" applyAlignment="1" applyProtection="1">
      <alignment/>
      <protection/>
    </xf>
    <xf numFmtId="0" fontId="45" fillId="0" borderId="41" xfId="0" applyFont="1" applyFill="1" applyBorder="1" applyAlignment="1" applyProtection="1">
      <alignment vertical="center" wrapText="1"/>
      <protection/>
    </xf>
    <xf numFmtId="0" fontId="45" fillId="0" borderId="20" xfId="0" applyFont="1" applyFill="1" applyBorder="1" applyAlignment="1" applyProtection="1">
      <alignment horizontal="right" vertical="center"/>
      <protection/>
    </xf>
    <xf numFmtId="0" fontId="45" fillId="0" borderId="29" xfId="0" applyFont="1" applyFill="1" applyBorder="1" applyAlignment="1" applyProtection="1">
      <alignment horizontal="right" vertical="center"/>
      <protection/>
    </xf>
    <xf numFmtId="0" fontId="116" fillId="0" borderId="0" xfId="0" applyFont="1" applyAlignment="1" applyProtection="1">
      <alignment vertical="center"/>
      <protection/>
    </xf>
    <xf numFmtId="0" fontId="45" fillId="0" borderId="39" xfId="0" applyFont="1" applyFill="1" applyBorder="1" applyAlignment="1" applyProtection="1">
      <alignment/>
      <protection/>
    </xf>
    <xf numFmtId="0" fontId="45" fillId="0" borderId="40" xfId="0" applyFont="1" applyFill="1" applyBorder="1" applyAlignment="1" applyProtection="1">
      <alignment/>
      <protection/>
    </xf>
    <xf numFmtId="0" fontId="45" fillId="0" borderId="34" xfId="0" applyFont="1" applyFill="1" applyBorder="1" applyAlignment="1" applyProtection="1">
      <alignment/>
      <protection/>
    </xf>
    <xf numFmtId="0" fontId="65" fillId="0" borderId="43" xfId="0" applyFont="1" applyFill="1" applyBorder="1" applyAlignment="1" applyProtection="1">
      <alignment/>
      <protection/>
    </xf>
    <xf numFmtId="0" fontId="65" fillId="0" borderId="44" xfId="0" applyFont="1" applyFill="1" applyBorder="1" applyAlignment="1" applyProtection="1">
      <alignment/>
      <protection/>
    </xf>
    <xf numFmtId="0" fontId="45" fillId="0" borderId="47" xfId="0" applyFont="1" applyFill="1" applyBorder="1" applyAlignment="1" applyProtection="1">
      <alignment/>
      <protection/>
    </xf>
    <xf numFmtId="0" fontId="126" fillId="0" borderId="8" xfId="0" applyFont="1" applyBorder="1" applyAlignment="1" applyProtection="1">
      <alignment horizontal="center" wrapText="1"/>
      <protection/>
    </xf>
    <xf numFmtId="0" fontId="127" fillId="0" borderId="8" xfId="0" applyFont="1" applyBorder="1" applyAlignment="1" applyProtection="1">
      <alignment horizontal="center"/>
      <protection/>
    </xf>
    <xf numFmtId="0" fontId="126" fillId="0" borderId="8" xfId="0" applyFont="1" applyBorder="1" applyAlignment="1" applyProtection="1">
      <alignment horizontal="center" vertical="top" wrapText="1"/>
      <protection/>
    </xf>
    <xf numFmtId="0" fontId="127" fillId="0" borderId="8" xfId="0" applyFont="1" applyFill="1" applyBorder="1" applyAlignment="1" applyProtection="1">
      <alignment horizontal="center"/>
      <protection/>
    </xf>
    <xf numFmtId="0" fontId="0" fillId="0" borderId="8" xfId="0" applyBorder="1" applyAlignment="1" applyProtection="1">
      <alignment/>
      <protection/>
    </xf>
    <xf numFmtId="0" fontId="126" fillId="0" borderId="8" xfId="0" applyFont="1" applyFill="1" applyBorder="1" applyAlignment="1" applyProtection="1">
      <alignment horizontal="center" wrapText="1"/>
      <protection/>
    </xf>
    <xf numFmtId="0" fontId="76" fillId="0" borderId="27" xfId="0" applyFont="1" applyFill="1" applyBorder="1" applyAlignment="1" applyProtection="1">
      <alignment/>
      <protection/>
    </xf>
    <xf numFmtId="0" fontId="45" fillId="0" borderId="37" xfId="0" applyFont="1" applyFill="1" applyBorder="1" applyAlignment="1" applyProtection="1">
      <alignment/>
      <protection/>
    </xf>
    <xf numFmtId="0" fontId="45" fillId="0" borderId="20" xfId="0" applyFont="1" applyFill="1" applyBorder="1" applyAlignment="1" applyProtection="1" quotePrefix="1">
      <alignment/>
      <protection/>
    </xf>
    <xf numFmtId="0" fontId="65" fillId="0" borderId="60" xfId="0" applyFont="1" applyFill="1" applyBorder="1" applyAlignment="1" applyProtection="1">
      <alignment/>
      <protection/>
    </xf>
    <xf numFmtId="0" fontId="45" fillId="0" borderId="61" xfId="0" applyFont="1" applyFill="1" applyBorder="1" applyAlignment="1" applyProtection="1">
      <alignment/>
      <protection/>
    </xf>
    <xf numFmtId="0" fontId="45" fillId="0" borderId="62" xfId="0" applyFont="1" applyFill="1" applyBorder="1" applyAlignment="1" applyProtection="1">
      <alignment/>
      <protection/>
    </xf>
    <xf numFmtId="0" fontId="3" fillId="0" borderId="0" xfId="135" applyFont="1" applyAlignment="1" applyProtection="1">
      <alignment vertical="center"/>
      <protection/>
    </xf>
    <xf numFmtId="0" fontId="19" fillId="0" borderId="0" xfId="135" applyFont="1" applyBorder="1" applyAlignment="1" applyProtection="1">
      <alignment horizontal="centerContinuous" vertical="center"/>
      <protection/>
    </xf>
    <xf numFmtId="0" fontId="20" fillId="0" borderId="0" xfId="135" applyFont="1" applyAlignment="1" applyProtection="1">
      <alignment vertical="center"/>
      <protection/>
    </xf>
    <xf numFmtId="0" fontId="22" fillId="38" borderId="32" xfId="135" applyFont="1" applyFill="1" applyBorder="1" applyAlignment="1" applyProtection="1">
      <alignment horizontal="center" vertical="center"/>
      <protection/>
    </xf>
    <xf numFmtId="0" fontId="22" fillId="38" borderId="8" xfId="135" applyFont="1" applyFill="1" applyBorder="1" applyAlignment="1" applyProtection="1">
      <alignment horizontal="center" vertical="center"/>
      <protection/>
    </xf>
    <xf numFmtId="0" fontId="3" fillId="0" borderId="27" xfId="135" applyFont="1" applyBorder="1" applyAlignment="1" applyProtection="1">
      <alignment vertical="center"/>
      <protection/>
    </xf>
    <xf numFmtId="0" fontId="3" fillId="0" borderId="20" xfId="135" applyFont="1" applyBorder="1" applyAlignment="1" applyProtection="1">
      <alignment vertical="center"/>
      <protection/>
    </xf>
    <xf numFmtId="0" fontId="43" fillId="0" borderId="0" xfId="135" applyFont="1" applyBorder="1" applyAlignment="1" applyProtection="1">
      <alignment horizontal="left" vertical="center" indent="1"/>
      <protection/>
    </xf>
    <xf numFmtId="0" fontId="0" fillId="0" borderId="28" xfId="0" applyBorder="1" applyAlignment="1" applyProtection="1">
      <alignment/>
      <protection/>
    </xf>
    <xf numFmtId="0" fontId="3" fillId="0" borderId="27" xfId="135" applyFont="1" applyBorder="1" applyAlignment="1" applyProtection="1">
      <alignment horizontal="center" vertical="center"/>
      <protection/>
    </xf>
    <xf numFmtId="49" fontId="23" fillId="0" borderId="20" xfId="135" applyNumberFormat="1" applyFont="1" applyBorder="1" applyAlignment="1" applyProtection="1">
      <alignment horizontal="left" vertical="center" wrapText="1" indent="1"/>
      <protection/>
    </xf>
    <xf numFmtId="0" fontId="23" fillId="0" borderId="0" xfId="135" applyFont="1" applyBorder="1" applyAlignment="1" applyProtection="1">
      <alignment horizontal="left" vertical="center" indent="1"/>
      <protection/>
    </xf>
    <xf numFmtId="49" fontId="23" fillId="0" borderId="20" xfId="135" applyNumberFormat="1" applyFont="1" applyBorder="1" applyAlignment="1" applyProtection="1">
      <alignment vertical="center" wrapText="1"/>
      <protection/>
    </xf>
    <xf numFmtId="0" fontId="3" fillId="0" borderId="0" xfId="135" applyFont="1" applyBorder="1" applyAlignment="1" applyProtection="1">
      <alignment vertical="center"/>
      <protection/>
    </xf>
    <xf numFmtId="0" fontId="22" fillId="0" borderId="0" xfId="135" applyFont="1" applyBorder="1" applyAlignment="1" applyProtection="1">
      <alignment horizontal="left" vertical="center" indent="1"/>
      <protection/>
    </xf>
    <xf numFmtId="0" fontId="22" fillId="0" borderId="28" xfId="135" applyFont="1" applyBorder="1" applyAlignment="1" applyProtection="1">
      <alignment horizontal="left" vertical="center" indent="1"/>
      <protection/>
    </xf>
    <xf numFmtId="0" fontId="23" fillId="0" borderId="17" xfId="135" applyFont="1" applyFill="1" applyBorder="1" applyAlignment="1" applyProtection="1">
      <alignment horizontal="left" vertical="center" indent="1"/>
      <protection/>
    </xf>
    <xf numFmtId="0" fontId="23" fillId="0" borderId="28" xfId="135" applyFont="1" applyFill="1" applyBorder="1" applyAlignment="1" applyProtection="1">
      <alignment horizontal="left" vertical="center"/>
      <protection/>
    </xf>
    <xf numFmtId="0" fontId="19" fillId="0" borderId="27" xfId="135" applyFont="1" applyBorder="1" applyAlignment="1" applyProtection="1">
      <alignment horizontal="center" vertical="center"/>
      <protection/>
    </xf>
    <xf numFmtId="49" fontId="19" fillId="0" borderId="20" xfId="135" applyNumberFormat="1" applyFont="1" applyBorder="1" applyAlignment="1" applyProtection="1">
      <alignment vertical="center" wrapText="1"/>
      <protection/>
    </xf>
    <xf numFmtId="0" fontId="20" fillId="0" borderId="0" xfId="135" applyFont="1" applyBorder="1" applyAlignment="1" applyProtection="1">
      <alignment vertical="center"/>
      <protection/>
    </xf>
    <xf numFmtId="0" fontId="23" fillId="0" borderId="28" xfId="135" applyFont="1" applyFill="1" applyBorder="1" applyAlignment="1" applyProtection="1">
      <alignment horizontal="left" vertical="center" indent="1"/>
      <protection/>
    </xf>
    <xf numFmtId="0" fontId="0" fillId="0" borderId="0" xfId="0" applyBorder="1" applyAlignment="1" applyProtection="1">
      <alignment/>
      <protection/>
    </xf>
    <xf numFmtId="0" fontId="22" fillId="0" borderId="17" xfId="135" applyFont="1" applyFill="1" applyBorder="1" applyAlignment="1" applyProtection="1">
      <alignment horizontal="left" vertical="center" indent="1"/>
      <protection/>
    </xf>
    <xf numFmtId="0" fontId="76" fillId="0" borderId="28" xfId="0" applyFont="1" applyFill="1" applyBorder="1" applyAlignment="1" applyProtection="1">
      <alignment/>
      <protection/>
    </xf>
    <xf numFmtId="0" fontId="0" fillId="0" borderId="20" xfId="0" applyBorder="1" applyAlignment="1" applyProtection="1">
      <alignment/>
      <protection/>
    </xf>
    <xf numFmtId="0" fontId="0" fillId="0" borderId="43" xfId="0" applyBorder="1" applyAlignment="1" applyProtection="1">
      <alignment/>
      <protection/>
    </xf>
    <xf numFmtId="0" fontId="0" fillId="0" borderId="49" xfId="0" applyBorder="1" applyAlignment="1" applyProtection="1">
      <alignment/>
      <protection/>
    </xf>
    <xf numFmtId="0" fontId="23" fillId="0" borderId="46" xfId="135" applyFont="1" applyFill="1" applyBorder="1" applyAlignment="1" applyProtection="1">
      <alignment horizontal="left" vertical="center" indent="1"/>
      <protection/>
    </xf>
    <xf numFmtId="0" fontId="23" fillId="0" borderId="47" xfId="135" applyFont="1" applyFill="1" applyBorder="1" applyAlignment="1" applyProtection="1">
      <alignment horizontal="left" vertical="center"/>
      <protection/>
    </xf>
    <xf numFmtId="0" fontId="0" fillId="43" borderId="8" xfId="0" applyFill="1" applyBorder="1" applyAlignment="1" applyProtection="1">
      <alignment vertical="center"/>
      <protection/>
    </xf>
    <xf numFmtId="0" fontId="0" fillId="0" borderId="0" xfId="0" applyFill="1" applyAlignment="1" applyProtection="1">
      <alignment/>
      <protection/>
    </xf>
    <xf numFmtId="184" fontId="76" fillId="0" borderId="8" xfId="0" applyNumberFormat="1" applyFont="1" applyBorder="1" applyAlignment="1" applyProtection="1">
      <alignment/>
      <protection/>
    </xf>
    <xf numFmtId="0" fontId="0" fillId="0" borderId="0" xfId="0" applyAlignment="1" applyProtection="1">
      <alignment horizontal="center"/>
      <protection/>
    </xf>
    <xf numFmtId="1" fontId="69" fillId="0" borderId="17" xfId="144" applyNumberFormat="1" applyFont="1" applyFill="1" applyBorder="1" applyAlignment="1" applyProtection="1">
      <alignment horizontal="center"/>
      <protection/>
    </xf>
    <xf numFmtId="1" fontId="0" fillId="0" borderId="0" xfId="0" applyNumberFormat="1" applyAlignment="1" applyProtection="1">
      <alignment/>
      <protection/>
    </xf>
    <xf numFmtId="172" fontId="69" fillId="0" borderId="26" xfId="144" applyNumberFormat="1" applyFont="1" applyFill="1" applyBorder="1" applyAlignment="1" applyProtection="1">
      <alignment horizontal="center"/>
      <protection/>
    </xf>
    <xf numFmtId="172" fontId="69" fillId="0" borderId="25" xfId="144" applyNumberFormat="1" applyFont="1" applyFill="1" applyBorder="1" applyAlignment="1" applyProtection="1">
      <alignment horizontal="center"/>
      <protection/>
    </xf>
    <xf numFmtId="2" fontId="0" fillId="0" borderId="0" xfId="0" applyNumberFormat="1" applyAlignment="1" applyProtection="1">
      <alignment/>
      <protection/>
    </xf>
    <xf numFmtId="172" fontId="69" fillId="0" borderId="15" xfId="144" applyNumberFormat="1" applyFont="1" applyFill="1" applyBorder="1" applyAlignment="1" applyProtection="1">
      <alignment horizontal="center"/>
      <protection/>
    </xf>
    <xf numFmtId="1" fontId="0" fillId="0" borderId="24" xfId="0" applyNumberFormat="1" applyBorder="1" applyAlignment="1" applyProtection="1">
      <alignment horizontal="center"/>
      <protection/>
    </xf>
    <xf numFmtId="3" fontId="96" fillId="0" borderId="24" xfId="0" applyNumberFormat="1" applyFont="1" applyBorder="1" applyAlignment="1" applyProtection="1">
      <alignment/>
      <protection/>
    </xf>
    <xf numFmtId="1" fontId="0" fillId="0" borderId="20" xfId="0" applyNumberFormat="1" applyBorder="1" applyAlignment="1" applyProtection="1">
      <alignment horizontal="center"/>
      <protection/>
    </xf>
    <xf numFmtId="181" fontId="0" fillId="0" borderId="20" xfId="0" applyNumberFormat="1" applyBorder="1" applyAlignment="1" applyProtection="1">
      <alignment horizontal="center"/>
      <protection/>
    </xf>
    <xf numFmtId="0" fontId="0" fillId="0" borderId="29" xfId="0" applyBorder="1" applyAlignment="1" applyProtection="1">
      <alignment/>
      <protection/>
    </xf>
    <xf numFmtId="2" fontId="0" fillId="0" borderId="20" xfId="0" applyNumberFormat="1" applyBorder="1" applyAlignment="1" applyProtection="1">
      <alignment/>
      <protection/>
    </xf>
    <xf numFmtId="181" fontId="0" fillId="0" borderId="49" xfId="0" applyNumberFormat="1" applyBorder="1" applyAlignment="1" applyProtection="1">
      <alignment/>
      <protection/>
    </xf>
    <xf numFmtId="0" fontId="0" fillId="0" borderId="50" xfId="0" applyBorder="1" applyAlignment="1" applyProtection="1">
      <alignment/>
      <protection/>
    </xf>
    <xf numFmtId="0" fontId="116" fillId="44" borderId="20" xfId="0" applyFont="1" applyFill="1" applyBorder="1" applyAlignment="1" applyProtection="1">
      <alignment horizontal="center"/>
      <protection locked="0"/>
    </xf>
    <xf numFmtId="1" fontId="45" fillId="44" borderId="24" xfId="119" applyNumberFormat="1" applyFont="1" applyFill="1" applyBorder="1" applyAlignment="1" applyProtection="1">
      <alignment/>
      <protection locked="0"/>
    </xf>
    <xf numFmtId="1" fontId="45" fillId="44" borderId="20" xfId="119" applyNumberFormat="1" applyFont="1" applyFill="1" applyBorder="1" applyAlignment="1" applyProtection="1">
      <alignment/>
      <protection locked="0"/>
    </xf>
    <xf numFmtId="1" fontId="45" fillId="44" borderId="26" xfId="119" applyNumberFormat="1" applyFont="1" applyFill="1" applyBorder="1" applyAlignment="1" applyProtection="1">
      <alignment/>
      <protection locked="0"/>
    </xf>
    <xf numFmtId="0" fontId="69" fillId="44" borderId="56" xfId="0" applyFont="1" applyFill="1" applyBorder="1" applyAlignment="1" applyProtection="1">
      <alignment horizontal="center"/>
      <protection locked="0"/>
    </xf>
    <xf numFmtId="0" fontId="116" fillId="44" borderId="26" xfId="0" applyFont="1" applyFill="1" applyBorder="1" applyAlignment="1" applyProtection="1">
      <alignment/>
      <protection locked="0"/>
    </xf>
    <xf numFmtId="0" fontId="116" fillId="44" borderId="24" xfId="0" applyFont="1" applyFill="1" applyBorder="1" applyAlignment="1" applyProtection="1">
      <alignment/>
      <protection locked="0"/>
    </xf>
    <xf numFmtId="0" fontId="69" fillId="44" borderId="57" xfId="0" applyFont="1" applyFill="1" applyBorder="1" applyAlignment="1" applyProtection="1">
      <alignment horizontal="center"/>
      <protection locked="0"/>
    </xf>
    <xf numFmtId="9" fontId="116" fillId="44" borderId="24" xfId="144" applyFont="1" applyFill="1" applyBorder="1" applyAlignment="1" applyProtection="1">
      <alignment horizontal="center"/>
      <protection locked="0"/>
    </xf>
    <xf numFmtId="9" fontId="116" fillId="44" borderId="35" xfId="144" applyFont="1" applyFill="1" applyBorder="1" applyAlignment="1" applyProtection="1">
      <alignment horizontal="center"/>
      <protection locked="0"/>
    </xf>
    <xf numFmtId="9" fontId="116" fillId="44" borderId="20" xfId="144" applyFont="1" applyFill="1" applyBorder="1" applyAlignment="1" applyProtection="1">
      <alignment horizontal="center"/>
      <protection locked="0"/>
    </xf>
    <xf numFmtId="9" fontId="116" fillId="44" borderId="28" xfId="144" applyFont="1" applyFill="1" applyBorder="1" applyAlignment="1" applyProtection="1">
      <alignment horizontal="center"/>
      <protection locked="0"/>
    </xf>
    <xf numFmtId="9" fontId="116" fillId="44" borderId="49" xfId="144" applyFont="1" applyFill="1" applyBorder="1" applyAlignment="1" applyProtection="1">
      <alignment horizontal="center"/>
      <protection locked="0"/>
    </xf>
    <xf numFmtId="9" fontId="116" fillId="44" borderId="47" xfId="144" applyFont="1" applyFill="1" applyBorder="1" applyAlignment="1" applyProtection="1">
      <alignment horizontal="center"/>
      <protection locked="0"/>
    </xf>
    <xf numFmtId="0" fontId="116" fillId="44" borderId="27" xfId="0" applyFont="1" applyFill="1" applyBorder="1" applyAlignment="1" applyProtection="1">
      <alignment vertical="center"/>
      <protection locked="0"/>
    </xf>
    <xf numFmtId="0" fontId="116" fillId="44" borderId="21" xfId="0" applyFont="1" applyFill="1" applyBorder="1" applyAlignment="1" applyProtection="1">
      <alignment vertical="center" wrapText="1"/>
      <protection locked="0"/>
    </xf>
    <xf numFmtId="0" fontId="116" fillId="44" borderId="36" xfId="0" applyFont="1" applyFill="1" applyBorder="1" applyAlignment="1" applyProtection="1">
      <alignment vertical="center" wrapText="1"/>
      <protection locked="0"/>
    </xf>
    <xf numFmtId="0" fontId="116" fillId="44" borderId="44" xfId="0" applyFont="1" applyFill="1" applyBorder="1" applyAlignment="1" applyProtection="1">
      <alignment vertical="center" wrapText="1"/>
      <protection locked="0"/>
    </xf>
    <xf numFmtId="0" fontId="116" fillId="44" borderId="47" xfId="0" applyFont="1" applyFill="1" applyBorder="1" applyAlignment="1" applyProtection="1">
      <alignment vertical="center" wrapText="1"/>
      <protection locked="0"/>
    </xf>
    <xf numFmtId="0" fontId="69" fillId="44" borderId="26" xfId="0" applyNumberFormat="1" applyFont="1" applyFill="1" applyBorder="1" applyAlignment="1" applyProtection="1">
      <alignment horizontal="center"/>
      <protection locked="0"/>
    </xf>
    <xf numFmtId="10" fontId="69" fillId="44" borderId="8" xfId="146" applyNumberFormat="1" applyFont="1" applyFill="1" applyBorder="1" applyAlignment="1" applyProtection="1">
      <alignment horizontal="center"/>
      <protection locked="0"/>
    </xf>
    <xf numFmtId="0" fontId="69" fillId="44" borderId="8" xfId="0" applyFont="1" applyFill="1" applyBorder="1" applyAlignment="1" applyProtection="1">
      <alignment horizontal="center"/>
      <protection locked="0"/>
    </xf>
    <xf numFmtId="1" fontId="69" fillId="44" borderId="20" xfId="144" applyNumberFormat="1" applyFont="1" applyFill="1" applyBorder="1" applyAlignment="1" applyProtection="1">
      <alignment horizontal="center"/>
      <protection locked="0"/>
    </xf>
    <xf numFmtId="1" fontId="69" fillId="44" borderId="26" xfId="144" applyNumberFormat="1" applyFont="1" applyFill="1" applyBorder="1" applyAlignment="1" applyProtection="1">
      <alignment horizontal="center"/>
      <protection locked="0"/>
    </xf>
    <xf numFmtId="1" fontId="69" fillId="44" borderId="24" xfId="144" applyNumberFormat="1" applyFont="1" applyFill="1" applyBorder="1" applyAlignment="1" applyProtection="1">
      <alignment horizontal="center"/>
      <protection locked="0"/>
    </xf>
    <xf numFmtId="1" fontId="69" fillId="44" borderId="49" xfId="144" applyNumberFormat="1" applyFont="1" applyFill="1" applyBorder="1" applyAlignment="1" applyProtection="1">
      <alignment horizontal="center"/>
      <protection locked="0"/>
    </xf>
    <xf numFmtId="2" fontId="69" fillId="44" borderId="24" xfId="144" applyNumberFormat="1" applyFont="1" applyFill="1" applyBorder="1" applyAlignment="1" applyProtection="1">
      <alignment horizontal="center"/>
      <protection locked="0"/>
    </xf>
    <xf numFmtId="2" fontId="69" fillId="44" borderId="20" xfId="144" applyNumberFormat="1" applyFont="1" applyFill="1" applyBorder="1" applyAlignment="1" applyProtection="1">
      <alignment horizontal="center"/>
      <protection locked="0"/>
    </xf>
    <xf numFmtId="2" fontId="69" fillId="44" borderId="26" xfId="144" applyNumberFormat="1" applyFont="1" applyFill="1" applyBorder="1" applyAlignment="1" applyProtection="1">
      <alignment horizontal="center"/>
      <protection locked="0"/>
    </xf>
    <xf numFmtId="10" fontId="69" fillId="44" borderId="49" xfId="146" applyNumberFormat="1" applyFont="1" applyFill="1" applyBorder="1" applyAlignment="1" applyProtection="1">
      <alignment horizontal="center"/>
      <protection locked="0"/>
    </xf>
    <xf numFmtId="0" fontId="116" fillId="44" borderId="43" xfId="0" applyFont="1" applyFill="1" applyBorder="1" applyAlignment="1" applyProtection="1">
      <alignment vertical="center"/>
      <protection locked="0"/>
    </xf>
    <xf numFmtId="172" fontId="69" fillId="44" borderId="24" xfId="144" applyNumberFormat="1" applyFont="1" applyFill="1" applyBorder="1" applyAlignment="1" applyProtection="1">
      <alignment horizontal="center"/>
      <protection locked="0"/>
    </xf>
    <xf numFmtId="172" fontId="69" fillId="44" borderId="26" xfId="0" applyNumberFormat="1" applyFont="1" applyFill="1" applyBorder="1" applyAlignment="1" applyProtection="1">
      <alignment horizontal="center"/>
      <protection locked="0"/>
    </xf>
    <xf numFmtId="0" fontId="69" fillId="44" borderId="61" xfId="0" applyNumberFormat="1" applyFont="1" applyFill="1" applyBorder="1" applyAlignment="1" applyProtection="1">
      <alignment horizontal="center"/>
      <protection locked="0"/>
    </xf>
    <xf numFmtId="0" fontId="114" fillId="44" borderId="8" xfId="0" applyFont="1" applyFill="1" applyBorder="1" applyAlignment="1" applyProtection="1">
      <alignment horizontal="center" vertical="center" wrapText="1"/>
      <protection locked="0"/>
    </xf>
    <xf numFmtId="0" fontId="114" fillId="44" borderId="16" xfId="0" applyFont="1" applyFill="1" applyBorder="1" applyAlignment="1" applyProtection="1">
      <alignment horizontal="center" vertical="center" wrapText="1"/>
      <protection locked="0"/>
    </xf>
    <xf numFmtId="0" fontId="114" fillId="44" borderId="34" xfId="0" applyFont="1" applyFill="1" applyBorder="1" applyAlignment="1" applyProtection="1">
      <alignment horizontal="center" vertical="center" wrapText="1"/>
      <protection locked="0"/>
    </xf>
    <xf numFmtId="1" fontId="116" fillId="44" borderId="20" xfId="0" applyNumberFormat="1" applyFont="1" applyFill="1" applyBorder="1" applyAlignment="1" applyProtection="1">
      <alignment horizontal="center"/>
      <protection locked="0"/>
    </xf>
    <xf numFmtId="0" fontId="116" fillId="44" borderId="0" xfId="0" applyFont="1" applyFill="1" applyBorder="1" applyAlignment="1" applyProtection="1">
      <alignment horizontal="center"/>
      <protection locked="0"/>
    </xf>
    <xf numFmtId="1" fontId="116" fillId="44" borderId="29" xfId="0" applyNumberFormat="1" applyFont="1" applyFill="1" applyBorder="1" applyAlignment="1" applyProtection="1">
      <alignment horizontal="center"/>
      <protection locked="0"/>
    </xf>
    <xf numFmtId="0" fontId="116" fillId="44" borderId="49" xfId="0" applyFont="1" applyFill="1" applyBorder="1" applyAlignment="1" applyProtection="1">
      <alignment horizontal="center"/>
      <protection locked="0"/>
    </xf>
    <xf numFmtId="0" fontId="116" fillId="44" borderId="44" xfId="0" applyFont="1" applyFill="1" applyBorder="1" applyAlignment="1" applyProtection="1">
      <alignment horizontal="center"/>
      <protection locked="0"/>
    </xf>
    <xf numFmtId="0" fontId="116" fillId="44" borderId="50" xfId="0" applyFont="1" applyFill="1" applyBorder="1" applyAlignment="1" applyProtection="1">
      <alignment horizontal="center"/>
      <protection locked="0"/>
    </xf>
    <xf numFmtId="172" fontId="45" fillId="44" borderId="26" xfId="144" applyNumberFormat="1" applyFont="1" applyFill="1" applyBorder="1" applyAlignment="1" applyProtection="1">
      <alignment/>
      <protection locked="0"/>
    </xf>
    <xf numFmtId="1" fontId="45" fillId="44" borderId="49" xfId="119" applyNumberFormat="1" applyFont="1" applyFill="1" applyBorder="1" applyAlignment="1" applyProtection="1">
      <alignment/>
      <protection locked="0"/>
    </xf>
    <xf numFmtId="172" fontId="65" fillId="44" borderId="8" xfId="144" applyNumberFormat="1" applyFont="1" applyFill="1" applyBorder="1" applyAlignment="1" applyProtection="1">
      <alignment horizontal="center"/>
      <protection locked="0"/>
    </xf>
    <xf numFmtId="0" fontId="116" fillId="44" borderId="20" xfId="0" applyFont="1" applyFill="1" applyBorder="1" applyAlignment="1" applyProtection="1">
      <alignment/>
      <protection locked="0"/>
    </xf>
    <xf numFmtId="9" fontId="116" fillId="44" borderId="26" xfId="144" applyFont="1" applyFill="1" applyBorder="1" applyAlignment="1" applyProtection="1">
      <alignment/>
      <protection locked="0"/>
    </xf>
    <xf numFmtId="0" fontId="116" fillId="44" borderId="49" xfId="0" applyFont="1" applyFill="1" applyBorder="1" applyAlignment="1" applyProtection="1">
      <alignment/>
      <protection locked="0"/>
    </xf>
    <xf numFmtId="0" fontId="116" fillId="44" borderId="21" xfId="0" applyFont="1" applyFill="1" applyBorder="1" applyAlignment="1" applyProtection="1">
      <alignment horizontal="left" vertical="center" wrapText="1"/>
      <protection locked="0"/>
    </xf>
    <xf numFmtId="0" fontId="116" fillId="44" borderId="36" xfId="0" applyFont="1" applyFill="1" applyBorder="1" applyAlignment="1" applyProtection="1">
      <alignment horizontal="left" vertical="center" wrapText="1"/>
      <protection locked="0"/>
    </xf>
    <xf numFmtId="0" fontId="116" fillId="0" borderId="24" xfId="0" applyFont="1" applyFill="1" applyBorder="1" applyAlignment="1" applyProtection="1">
      <alignment/>
      <protection/>
    </xf>
    <xf numFmtId="0" fontId="116" fillId="44" borderId="24" xfId="0" applyFont="1" applyFill="1" applyBorder="1" applyAlignment="1" applyProtection="1">
      <alignment horizontal="center"/>
      <protection locked="0"/>
    </xf>
    <xf numFmtId="172" fontId="65" fillId="44" borderId="8" xfId="146" applyNumberFormat="1" applyFont="1" applyFill="1" applyBorder="1" applyAlignment="1" applyProtection="1">
      <alignment horizontal="center"/>
      <protection locked="0"/>
    </xf>
    <xf numFmtId="0" fontId="116" fillId="44" borderId="26" xfId="0" applyFont="1" applyFill="1" applyBorder="1" applyAlignment="1" applyProtection="1">
      <alignment horizontal="center"/>
      <protection locked="0"/>
    </xf>
    <xf numFmtId="10" fontId="45" fillId="44" borderId="26" xfId="144" applyNumberFormat="1" applyFont="1" applyFill="1" applyBorder="1" applyAlignment="1" applyProtection="1">
      <alignment/>
      <protection locked="0"/>
    </xf>
    <xf numFmtId="3" fontId="45" fillId="0" borderId="34" xfId="0" applyNumberFormat="1" applyFont="1" applyFill="1" applyBorder="1" applyAlignment="1" applyProtection="1">
      <alignment horizontal="center" vertical="center"/>
      <protection/>
    </xf>
    <xf numFmtId="175" fontId="116" fillId="0" borderId="49" xfId="0" applyNumberFormat="1" applyFont="1" applyFill="1" applyBorder="1" applyAlignment="1" applyProtection="1">
      <alignment/>
      <protection/>
    </xf>
    <xf numFmtId="3" fontId="65" fillId="0" borderId="20" xfId="0" applyNumberFormat="1" applyFont="1" applyFill="1" applyBorder="1" applyAlignment="1" applyProtection="1">
      <alignment horizontal="center"/>
      <protection locked="0"/>
    </xf>
    <xf numFmtId="0" fontId="0" fillId="0" borderId="0" xfId="0" applyAlignment="1" applyProtection="1">
      <alignment/>
      <protection locked="0"/>
    </xf>
    <xf numFmtId="9" fontId="84" fillId="40" borderId="16" xfId="144" applyFont="1" applyFill="1" applyBorder="1" applyAlignment="1" applyProtection="1">
      <alignment horizontal="center"/>
      <protection locked="0"/>
    </xf>
    <xf numFmtId="0" fontId="0" fillId="0" borderId="0" xfId="0" applyFont="1" applyAlignment="1" applyProtection="1">
      <alignment/>
      <protection locked="0"/>
    </xf>
    <xf numFmtId="0" fontId="45" fillId="38" borderId="8" xfId="0" applyFont="1" applyFill="1" applyBorder="1" applyAlignment="1" applyProtection="1">
      <alignment horizontal="center" vertical="center" wrapText="1"/>
      <protection locked="0"/>
    </xf>
    <xf numFmtId="0" fontId="45" fillId="38" borderId="15" xfId="0" applyFont="1" applyFill="1" applyBorder="1" applyAlignment="1" applyProtection="1">
      <alignment horizontal="center" vertical="center" wrapText="1"/>
      <protection locked="0"/>
    </xf>
    <xf numFmtId="0" fontId="113" fillId="0" borderId="41" xfId="0" applyFont="1" applyFill="1" applyBorder="1" applyAlignment="1" applyProtection="1">
      <alignment vertical="center" wrapText="1"/>
      <protection/>
    </xf>
    <xf numFmtId="0" fontId="0" fillId="0" borderId="41" xfId="0" applyFont="1" applyFill="1" applyBorder="1" applyAlignment="1" applyProtection="1">
      <alignment vertical="center" wrapText="1"/>
      <protection/>
    </xf>
    <xf numFmtId="0" fontId="128" fillId="0" borderId="33" xfId="0" applyFont="1" applyBorder="1" applyAlignment="1" applyProtection="1">
      <alignment horizontal="right"/>
      <protection/>
    </xf>
    <xf numFmtId="0" fontId="116" fillId="45" borderId="20" xfId="0" applyFont="1" applyFill="1" applyBorder="1" applyAlignment="1" applyProtection="1">
      <alignment horizontal="center"/>
      <protection locked="0"/>
    </xf>
    <xf numFmtId="0" fontId="116" fillId="45" borderId="49" xfId="0" applyFont="1" applyFill="1" applyBorder="1" applyAlignment="1" applyProtection="1">
      <alignment horizontal="center"/>
      <protection locked="0"/>
    </xf>
    <xf numFmtId="0" fontId="116" fillId="44" borderId="8" xfId="0" applyFont="1" applyFill="1" applyBorder="1" applyAlignment="1" applyProtection="1">
      <alignment/>
      <protection locked="0"/>
    </xf>
    <xf numFmtId="0" fontId="116" fillId="45" borderId="20" xfId="0" applyFont="1" applyFill="1" applyBorder="1" applyAlignment="1" applyProtection="1">
      <alignment/>
      <protection locked="0"/>
    </xf>
    <xf numFmtId="0" fontId="116" fillId="45" borderId="49" xfId="0" applyFont="1" applyFill="1" applyBorder="1" applyAlignment="1" applyProtection="1">
      <alignment/>
      <protection locked="0"/>
    </xf>
    <xf numFmtId="0" fontId="124" fillId="0" borderId="8" xfId="0" applyFont="1" applyFill="1" applyBorder="1" applyAlignment="1" applyProtection="1">
      <alignment horizontal="center" wrapText="1"/>
      <protection/>
    </xf>
    <xf numFmtId="0" fontId="124" fillId="0" borderId="8" xfId="0" applyFont="1" applyFill="1" applyBorder="1" applyAlignment="1" applyProtection="1">
      <alignment horizontal="center" wrapText="1"/>
      <protection/>
    </xf>
    <xf numFmtId="183" fontId="116" fillId="0" borderId="8" xfId="0" applyNumberFormat="1" applyFont="1" applyFill="1" applyBorder="1" applyAlignment="1" applyProtection="1">
      <alignment horizontal="center"/>
      <protection/>
    </xf>
    <xf numFmtId="181" fontId="116" fillId="44" borderId="24" xfId="0" applyNumberFormat="1" applyFont="1" applyFill="1" applyBorder="1" applyAlignment="1" applyProtection="1">
      <alignment/>
      <protection locked="0"/>
    </xf>
    <xf numFmtId="2" fontId="116" fillId="44" borderId="26" xfId="0" applyNumberFormat="1" applyFont="1" applyFill="1" applyBorder="1" applyAlignment="1" applyProtection="1">
      <alignment/>
      <protection locked="0"/>
    </xf>
    <xf numFmtId="2" fontId="116" fillId="44" borderId="24" xfId="0" applyNumberFormat="1" applyFont="1" applyFill="1" applyBorder="1" applyAlignment="1" applyProtection="1">
      <alignment/>
      <protection locked="0"/>
    </xf>
    <xf numFmtId="0" fontId="123" fillId="0" borderId="8" xfId="0" applyFont="1" applyFill="1" applyBorder="1" applyAlignment="1" applyProtection="1">
      <alignment horizontal="center" vertical="top" wrapText="1"/>
      <protection/>
    </xf>
    <xf numFmtId="0" fontId="114" fillId="0" borderId="58" xfId="0" applyFont="1" applyBorder="1" applyAlignment="1" applyProtection="1">
      <alignment/>
      <protection/>
    </xf>
    <xf numFmtId="0" fontId="114" fillId="0" borderId="63" xfId="0" applyFont="1" applyBorder="1" applyAlignment="1" applyProtection="1">
      <alignment/>
      <protection/>
    </xf>
    <xf numFmtId="0" fontId="116" fillId="0" borderId="63" xfId="0" applyFont="1" applyBorder="1" applyAlignment="1" applyProtection="1">
      <alignment/>
      <protection/>
    </xf>
    <xf numFmtId="0" fontId="116" fillId="0" borderId="64" xfId="0" applyFont="1" applyBorder="1" applyAlignment="1" applyProtection="1">
      <alignment/>
      <protection/>
    </xf>
    <xf numFmtId="10" fontId="69" fillId="44" borderId="8" xfId="146" applyNumberFormat="1" applyFont="1" applyFill="1" applyBorder="1" applyAlignment="1" applyProtection="1">
      <alignment horizontal="right"/>
      <protection locked="0"/>
    </xf>
    <xf numFmtId="10" fontId="0" fillId="0" borderId="8" xfId="0" applyNumberFormat="1" applyBorder="1" applyAlignment="1" applyProtection="1">
      <alignment/>
      <protection/>
    </xf>
    <xf numFmtId="0" fontId="65" fillId="0" borderId="8" xfId="0" applyFont="1" applyFill="1" applyBorder="1" applyAlignment="1" applyProtection="1">
      <alignment horizontal="left"/>
      <protection/>
    </xf>
    <xf numFmtId="0" fontId="114" fillId="0" borderId="7" xfId="0" applyFont="1" applyBorder="1" applyAlignment="1" applyProtection="1">
      <alignment horizontal="center"/>
      <protection/>
    </xf>
    <xf numFmtId="0" fontId="114" fillId="0" borderId="16" xfId="0" applyFont="1" applyBorder="1" applyAlignment="1" applyProtection="1">
      <alignment horizontal="center"/>
      <protection/>
    </xf>
    <xf numFmtId="0" fontId="114" fillId="0" borderId="38" xfId="0" applyFont="1" applyBorder="1" applyAlignment="1" applyProtection="1">
      <alignment horizontal="center" vertical="center"/>
      <protection/>
    </xf>
    <xf numFmtId="0" fontId="114" fillId="0" borderId="40" xfId="0" applyFont="1" applyBorder="1" applyAlignment="1" applyProtection="1">
      <alignment horizontal="center" vertical="center"/>
      <protection/>
    </xf>
    <xf numFmtId="0" fontId="113" fillId="44" borderId="15" xfId="0" applyFont="1" applyFill="1" applyBorder="1" applyAlignment="1" applyProtection="1">
      <alignment/>
      <protection locked="0"/>
    </xf>
    <xf numFmtId="0" fontId="113" fillId="44" borderId="16" xfId="0" applyFont="1" applyFill="1" applyBorder="1" applyAlignment="1" applyProtection="1">
      <alignment/>
      <protection locked="0"/>
    </xf>
    <xf numFmtId="0" fontId="113" fillId="0" borderId="33" xfId="0" applyFont="1" applyBorder="1" applyAlignment="1" applyProtection="1">
      <alignment horizontal="center"/>
      <protection/>
    </xf>
    <xf numFmtId="0" fontId="113" fillId="0" borderId="8" xfId="0" applyFont="1" applyBorder="1" applyAlignment="1" applyProtection="1">
      <alignment horizontal="center"/>
      <protection/>
    </xf>
    <xf numFmtId="0" fontId="113" fillId="0" borderId="15" xfId="0" applyFont="1" applyBorder="1" applyAlignment="1" applyProtection="1">
      <alignment horizontal="center"/>
      <protection/>
    </xf>
    <xf numFmtId="0" fontId="113" fillId="0" borderId="33" xfId="0" applyFont="1" applyFill="1" applyBorder="1" applyAlignment="1" applyProtection="1">
      <alignment horizontal="center"/>
      <protection/>
    </xf>
    <xf numFmtId="0" fontId="113" fillId="0" borderId="8" xfId="0" applyFont="1" applyFill="1" applyBorder="1" applyAlignment="1" applyProtection="1">
      <alignment horizontal="center"/>
      <protection/>
    </xf>
    <xf numFmtId="0" fontId="113" fillId="0" borderId="15" xfId="0" applyFont="1" applyFill="1" applyBorder="1" applyAlignment="1" applyProtection="1">
      <alignment horizontal="center"/>
      <protection/>
    </xf>
    <xf numFmtId="0" fontId="129" fillId="0" borderId="0" xfId="0" applyFont="1" applyAlignment="1" applyProtection="1">
      <alignment horizontal="right"/>
      <protection/>
    </xf>
    <xf numFmtId="0" fontId="122" fillId="38" borderId="51" xfId="0" applyFont="1" applyFill="1" applyBorder="1" applyAlignment="1" applyProtection="1">
      <alignment horizontal="center"/>
      <protection/>
    </xf>
    <xf numFmtId="0" fontId="122" fillId="38" borderId="52" xfId="0" applyFont="1" applyFill="1" applyBorder="1" applyAlignment="1" applyProtection="1">
      <alignment horizontal="center"/>
      <protection/>
    </xf>
    <xf numFmtId="0" fontId="122" fillId="38" borderId="53" xfId="0" applyFont="1" applyFill="1" applyBorder="1" applyAlignment="1" applyProtection="1">
      <alignment horizontal="center"/>
      <protection/>
    </xf>
    <xf numFmtId="0" fontId="114" fillId="0" borderId="31" xfId="0" applyFont="1" applyBorder="1" applyAlignment="1" applyProtection="1">
      <alignment horizontal="left" vertical="center" wrapText="1"/>
      <protection/>
    </xf>
    <xf numFmtId="0" fontId="114" fillId="0" borderId="18" xfId="0" applyFont="1" applyBorder="1" applyAlignment="1" applyProtection="1">
      <alignment horizontal="left" vertical="center" wrapText="1"/>
      <protection/>
    </xf>
    <xf numFmtId="0" fontId="114" fillId="0" borderId="35" xfId="0" applyFont="1" applyBorder="1" applyAlignment="1" applyProtection="1">
      <alignment horizontal="left" vertical="center" wrapText="1"/>
      <protection/>
    </xf>
    <xf numFmtId="0" fontId="117" fillId="38" borderId="51" xfId="0" applyFont="1" applyFill="1" applyBorder="1" applyAlignment="1" applyProtection="1">
      <alignment horizontal="center" vertical="center" wrapText="1"/>
      <protection/>
    </xf>
    <xf numFmtId="0" fontId="117" fillId="38" borderId="52" xfId="0" applyFont="1" applyFill="1" applyBorder="1" applyAlignment="1" applyProtection="1">
      <alignment horizontal="center" vertical="center" wrapText="1"/>
      <protection/>
    </xf>
    <xf numFmtId="0" fontId="117" fillId="38" borderId="53" xfId="0" applyFont="1" applyFill="1" applyBorder="1" applyAlignment="1" applyProtection="1">
      <alignment horizontal="center" vertical="center" wrapText="1"/>
      <protection/>
    </xf>
    <xf numFmtId="0" fontId="118" fillId="0" borderId="58" xfId="0" applyFont="1" applyBorder="1" applyAlignment="1" applyProtection="1">
      <alignment horizontal="center"/>
      <protection/>
    </xf>
    <xf numFmtId="0" fontId="118" fillId="0" borderId="63" xfId="0" applyFont="1" applyBorder="1" applyAlignment="1" applyProtection="1">
      <alignment horizontal="center"/>
      <protection/>
    </xf>
    <xf numFmtId="0" fontId="118" fillId="0" borderId="64" xfId="0" applyFont="1" applyBorder="1" applyAlignment="1" applyProtection="1">
      <alignment horizontal="center"/>
      <protection/>
    </xf>
    <xf numFmtId="172" fontId="76" fillId="0" borderId="15" xfId="144" applyNumberFormat="1" applyFont="1" applyBorder="1" applyAlignment="1" applyProtection="1">
      <alignment horizontal="center"/>
      <protection/>
    </xf>
    <xf numFmtId="172" fontId="76" fillId="0" borderId="16" xfId="144" applyNumberFormat="1" applyFont="1" applyBorder="1" applyAlignment="1" applyProtection="1">
      <alignment horizontal="center"/>
      <protection/>
    </xf>
    <xf numFmtId="174" fontId="76" fillId="0" borderId="15" xfId="144" applyNumberFormat="1" applyFont="1" applyBorder="1" applyAlignment="1" applyProtection="1">
      <alignment horizontal="center"/>
      <protection/>
    </xf>
    <xf numFmtId="174" fontId="76" fillId="0" borderId="16" xfId="144" applyNumberFormat="1" applyFont="1" applyBorder="1" applyAlignment="1" applyProtection="1">
      <alignment horizontal="center"/>
      <protection/>
    </xf>
    <xf numFmtId="1" fontId="130" fillId="16" borderId="15" xfId="0" applyNumberFormat="1" applyFont="1" applyFill="1" applyBorder="1" applyAlignment="1" applyProtection="1">
      <alignment horizontal="center"/>
      <protection/>
    </xf>
    <xf numFmtId="1" fontId="130" fillId="16" borderId="7" xfId="0" applyNumberFormat="1" applyFont="1" applyFill="1" applyBorder="1" applyAlignment="1" applyProtection="1">
      <alignment horizontal="center"/>
      <protection/>
    </xf>
    <xf numFmtId="1" fontId="130" fillId="16" borderId="30" xfId="0" applyNumberFormat="1" applyFont="1" applyFill="1" applyBorder="1" applyAlignment="1" applyProtection="1">
      <alignment horizontal="center"/>
      <protection/>
    </xf>
    <xf numFmtId="0" fontId="131" fillId="38" borderId="15" xfId="0" applyFont="1" applyFill="1" applyBorder="1" applyAlignment="1" applyProtection="1">
      <alignment horizontal="center"/>
      <protection/>
    </xf>
    <xf numFmtId="0" fontId="131" fillId="38" borderId="16" xfId="0" applyFont="1" applyFill="1" applyBorder="1" applyAlignment="1" applyProtection="1">
      <alignment horizontal="center"/>
      <protection/>
    </xf>
    <xf numFmtId="0" fontId="22" fillId="38" borderId="7" xfId="135" applyFont="1" applyFill="1" applyBorder="1" applyAlignment="1" applyProtection="1">
      <alignment horizontal="center" vertical="center"/>
      <protection/>
    </xf>
    <xf numFmtId="0" fontId="22" fillId="38" borderId="30" xfId="135" applyFont="1" applyFill="1" applyBorder="1" applyAlignment="1" applyProtection="1">
      <alignment horizontal="center" vertical="center"/>
      <protection/>
    </xf>
    <xf numFmtId="0" fontId="23" fillId="0" borderId="0" xfId="135" applyFont="1" applyBorder="1" applyAlignment="1" applyProtection="1">
      <alignment horizontal="left" vertical="center" wrapText="1" indent="1"/>
      <protection/>
    </xf>
    <xf numFmtId="0" fontId="23" fillId="0" borderId="28" xfId="135" applyFont="1" applyBorder="1" applyAlignment="1" applyProtection="1">
      <alignment horizontal="left" vertical="center" wrapText="1" indent="1"/>
      <protection/>
    </xf>
    <xf numFmtId="0" fontId="19" fillId="0" borderId="58" xfId="135" applyFont="1" applyBorder="1" applyAlignment="1" applyProtection="1">
      <alignment horizontal="center" vertical="center"/>
      <protection/>
    </xf>
    <xf numFmtId="0" fontId="19" fillId="0" borderId="63" xfId="135" applyFont="1" applyBorder="1" applyAlignment="1" applyProtection="1">
      <alignment horizontal="center" vertical="center"/>
      <protection/>
    </xf>
    <xf numFmtId="0" fontId="19" fillId="0" borderId="64" xfId="135" applyFont="1" applyBorder="1" applyAlignment="1" applyProtection="1">
      <alignment horizontal="center" vertical="center"/>
      <protection/>
    </xf>
    <xf numFmtId="0" fontId="19" fillId="0" borderId="43" xfId="135" applyFont="1" applyBorder="1" applyAlignment="1" applyProtection="1">
      <alignment horizontal="center" vertical="center"/>
      <protection/>
    </xf>
    <xf numFmtId="0" fontId="19" fillId="0" borderId="44" xfId="135" applyFont="1" applyBorder="1" applyAlignment="1" applyProtection="1">
      <alignment horizontal="center" vertical="center"/>
      <protection/>
    </xf>
    <xf numFmtId="0" fontId="19" fillId="0" borderId="47" xfId="135" applyFont="1" applyBorder="1" applyAlignment="1" applyProtection="1">
      <alignment horizontal="center" vertical="center"/>
      <protection/>
    </xf>
    <xf numFmtId="0" fontId="21" fillId="38" borderId="51" xfId="135" applyFont="1" applyFill="1" applyBorder="1" applyAlignment="1" applyProtection="1">
      <alignment horizontal="center" vertical="center"/>
      <protection/>
    </xf>
    <xf numFmtId="0" fontId="21" fillId="38" borderId="52" xfId="135" applyFont="1" applyFill="1" applyBorder="1" applyAlignment="1" applyProtection="1">
      <alignment horizontal="center" vertical="center"/>
      <protection/>
    </xf>
    <xf numFmtId="0" fontId="21" fillId="38" borderId="53" xfId="135" applyFont="1" applyFill="1" applyBorder="1" applyAlignment="1" applyProtection="1">
      <alignment horizontal="center" vertical="center"/>
      <protection/>
    </xf>
    <xf numFmtId="0" fontId="75" fillId="0" borderId="65" xfId="0" applyFont="1" applyFill="1" applyBorder="1" applyAlignment="1" applyProtection="1">
      <alignment horizontal="center"/>
      <protection/>
    </xf>
    <xf numFmtId="0" fontId="75" fillId="0" borderId="55" xfId="0" applyFont="1" applyFill="1" applyBorder="1" applyAlignment="1" applyProtection="1">
      <alignment horizontal="center"/>
      <protection/>
    </xf>
    <xf numFmtId="0" fontId="75" fillId="0" borderId="56" xfId="0" applyFont="1" applyFill="1" applyBorder="1" applyAlignment="1" applyProtection="1">
      <alignment horizontal="center"/>
      <protection/>
    </xf>
    <xf numFmtId="0" fontId="75" fillId="0" borderId="33" xfId="0" applyFont="1" applyFill="1" applyBorder="1" applyAlignment="1" applyProtection="1">
      <alignment horizontal="center"/>
      <protection/>
    </xf>
    <xf numFmtId="0" fontId="75" fillId="0" borderId="8" xfId="0" applyFont="1" applyFill="1" applyBorder="1" applyAlignment="1" applyProtection="1">
      <alignment horizontal="center"/>
      <protection/>
    </xf>
    <xf numFmtId="0" fontId="75" fillId="0" borderId="34" xfId="0" applyFont="1" applyFill="1" applyBorder="1" applyAlignment="1" applyProtection="1">
      <alignment horizontal="center"/>
      <protection/>
    </xf>
    <xf numFmtId="0" fontId="73" fillId="38" borderId="14" xfId="0" applyFont="1" applyFill="1" applyBorder="1" applyAlignment="1" applyProtection="1">
      <alignment horizontal="center"/>
      <protection/>
    </xf>
    <xf numFmtId="0" fontId="76" fillId="38" borderId="7" xfId="0" applyFont="1" applyFill="1" applyBorder="1" applyAlignment="1" applyProtection="1">
      <alignment/>
      <protection/>
    </xf>
    <xf numFmtId="0" fontId="76" fillId="38" borderId="30" xfId="0" applyFont="1" applyFill="1" applyBorder="1" applyAlignment="1" applyProtection="1">
      <alignment/>
      <protection/>
    </xf>
    <xf numFmtId="0" fontId="73" fillId="38" borderId="37" xfId="0" applyFont="1" applyFill="1" applyBorder="1" applyAlignment="1" applyProtection="1">
      <alignment horizontal="center" vertical="center"/>
      <protection/>
    </xf>
    <xf numFmtId="0" fontId="73" fillId="38" borderId="39" xfId="0" applyFont="1" applyFill="1" applyBorder="1" applyAlignment="1" applyProtection="1">
      <alignment horizontal="center" vertical="center"/>
      <protection/>
    </xf>
    <xf numFmtId="0" fontId="65" fillId="38" borderId="37" xfId="0" applyFont="1" applyFill="1" applyBorder="1" applyAlignment="1" applyProtection="1">
      <alignment horizontal="center" vertical="center"/>
      <protection/>
    </xf>
    <xf numFmtId="0" fontId="65" fillId="38" borderId="39" xfId="0" applyFont="1" applyFill="1" applyBorder="1" applyAlignment="1" applyProtection="1">
      <alignment horizontal="center" vertical="center"/>
      <protection/>
    </xf>
    <xf numFmtId="0" fontId="65" fillId="38" borderId="14" xfId="0" applyFont="1" applyFill="1" applyBorder="1" applyAlignment="1" applyProtection="1">
      <alignment horizontal="center"/>
      <protection/>
    </xf>
    <xf numFmtId="0" fontId="45" fillId="38" borderId="7" xfId="0" applyFont="1" applyFill="1" applyBorder="1" applyAlignment="1" applyProtection="1">
      <alignment/>
      <protection/>
    </xf>
    <xf numFmtId="0" fontId="45" fillId="38" borderId="30" xfId="0" applyFont="1" applyFill="1" applyBorder="1" applyAlignment="1" applyProtection="1">
      <alignment/>
      <protection/>
    </xf>
    <xf numFmtId="0" fontId="45" fillId="0" borderId="27" xfId="0" applyFont="1" applyFill="1" applyBorder="1" applyAlignment="1" applyProtection="1">
      <alignment horizontal="left" vertical="top" wrapText="1"/>
      <protection/>
    </xf>
    <xf numFmtId="0" fontId="45" fillId="0" borderId="0" xfId="0" applyFont="1" applyFill="1" applyBorder="1" applyAlignment="1" applyProtection="1">
      <alignment horizontal="left" vertical="top" wrapText="1"/>
      <protection/>
    </xf>
    <xf numFmtId="0" fontId="75" fillId="0" borderId="33" xfId="0" applyFont="1" applyFill="1" applyBorder="1" applyAlignment="1" applyProtection="1">
      <alignment horizontal="center" vertical="center" wrapText="1"/>
      <protection/>
    </xf>
    <xf numFmtId="0" fontId="75" fillId="0" borderId="8" xfId="0" applyFont="1" applyFill="1" applyBorder="1" applyAlignment="1" applyProtection="1">
      <alignment horizontal="center" vertical="center" wrapText="1"/>
      <protection/>
    </xf>
    <xf numFmtId="0" fontId="75" fillId="0" borderId="34" xfId="0" applyFont="1" applyFill="1" applyBorder="1" applyAlignment="1" applyProtection="1">
      <alignment horizontal="center" vertical="center" wrapText="1"/>
      <protection/>
    </xf>
    <xf numFmtId="0" fontId="65" fillId="38" borderId="31" xfId="0" applyFont="1" applyFill="1" applyBorder="1" applyAlignment="1" applyProtection="1">
      <alignment horizontal="center" vertical="center" wrapText="1"/>
      <protection/>
    </xf>
    <xf numFmtId="0" fontId="65" fillId="38" borderId="42" xfId="0" applyFont="1" applyFill="1" applyBorder="1" applyAlignment="1" applyProtection="1">
      <alignment horizontal="center" vertical="center" wrapText="1"/>
      <protection/>
    </xf>
    <xf numFmtId="0" fontId="65" fillId="38" borderId="27" xfId="0" applyFont="1" applyFill="1" applyBorder="1" applyAlignment="1" applyProtection="1">
      <alignment horizontal="center" vertical="center" wrapText="1"/>
      <protection/>
    </xf>
    <xf numFmtId="0" fontId="65" fillId="38" borderId="19" xfId="0" applyFont="1" applyFill="1" applyBorder="1" applyAlignment="1" applyProtection="1">
      <alignment horizontal="center" vertical="center" wrapText="1"/>
      <protection/>
    </xf>
    <xf numFmtId="0" fontId="65" fillId="38" borderId="32" xfId="0" applyFont="1" applyFill="1" applyBorder="1" applyAlignment="1" applyProtection="1">
      <alignment horizontal="center" vertical="center" wrapText="1"/>
      <protection/>
    </xf>
    <xf numFmtId="0" fontId="65" fillId="38" borderId="22" xfId="0" applyFont="1" applyFill="1" applyBorder="1" applyAlignment="1" applyProtection="1">
      <alignment horizontal="center" vertical="center" wrapText="1"/>
      <protection/>
    </xf>
    <xf numFmtId="0" fontId="65" fillId="38" borderId="15" xfId="0" applyFont="1" applyFill="1" applyBorder="1" applyAlignment="1" applyProtection="1">
      <alignment horizontal="center"/>
      <protection/>
    </xf>
    <xf numFmtId="0" fontId="65" fillId="38" borderId="7" xfId="0" applyFont="1" applyFill="1" applyBorder="1" applyAlignment="1" applyProtection="1">
      <alignment horizontal="center"/>
      <protection/>
    </xf>
    <xf numFmtId="0" fontId="65" fillId="38" borderId="30" xfId="0" applyFont="1" applyFill="1" applyBorder="1" applyAlignment="1" applyProtection="1">
      <alignment horizontal="center"/>
      <protection/>
    </xf>
    <xf numFmtId="0" fontId="75" fillId="0" borderId="58" xfId="0" applyFont="1" applyFill="1" applyBorder="1" applyAlignment="1" applyProtection="1">
      <alignment horizontal="center"/>
      <protection/>
    </xf>
    <xf numFmtId="0" fontId="75" fillId="0" borderId="63" xfId="0" applyFont="1" applyFill="1" applyBorder="1" applyAlignment="1" applyProtection="1">
      <alignment horizontal="center"/>
      <protection/>
    </xf>
    <xf numFmtId="0" fontId="75" fillId="0" borderId="64" xfId="0" applyFont="1" applyFill="1" applyBorder="1" applyAlignment="1" applyProtection="1">
      <alignment horizontal="center"/>
      <protection/>
    </xf>
    <xf numFmtId="0" fontId="75" fillId="0" borderId="27" xfId="0" applyFont="1" applyFill="1" applyBorder="1" applyAlignment="1" applyProtection="1">
      <alignment horizontal="center"/>
      <protection/>
    </xf>
    <xf numFmtId="0" fontId="75" fillId="0" borderId="0" xfId="0" applyFont="1" applyFill="1" applyBorder="1" applyAlignment="1" applyProtection="1">
      <alignment horizontal="center"/>
      <protection/>
    </xf>
    <xf numFmtId="0" fontId="75" fillId="0" borderId="28" xfId="0" applyFont="1" applyFill="1" applyBorder="1" applyAlignment="1" applyProtection="1">
      <alignment horizontal="center"/>
      <protection/>
    </xf>
    <xf numFmtId="0" fontId="75" fillId="0" borderId="32" xfId="0" applyFont="1" applyFill="1" applyBorder="1" applyAlignment="1" applyProtection="1">
      <alignment horizontal="center"/>
      <protection/>
    </xf>
    <xf numFmtId="0" fontId="75" fillId="0" borderId="21" xfId="0" applyFont="1" applyFill="1" applyBorder="1" applyAlignment="1" applyProtection="1">
      <alignment horizontal="center"/>
      <protection/>
    </xf>
    <xf numFmtId="0" fontId="75" fillId="0" borderId="36" xfId="0" applyFont="1" applyFill="1" applyBorder="1" applyAlignment="1" applyProtection="1">
      <alignment horizontal="center"/>
      <protection/>
    </xf>
    <xf numFmtId="0" fontId="65" fillId="38" borderId="20" xfId="0" applyFont="1" applyFill="1" applyBorder="1" applyAlignment="1" applyProtection="1">
      <alignment horizontal="center" vertical="center" wrapText="1"/>
      <protection/>
    </xf>
    <xf numFmtId="0" fontId="65" fillId="38" borderId="26" xfId="0" applyFont="1" applyFill="1" applyBorder="1" applyAlignment="1" applyProtection="1">
      <alignment horizontal="center" vertical="center" wrapText="1"/>
      <protection/>
    </xf>
    <xf numFmtId="0" fontId="65" fillId="38" borderId="24" xfId="0" applyFont="1" applyFill="1" applyBorder="1" applyAlignment="1" applyProtection="1">
      <alignment horizontal="center" vertical="center" wrapText="1"/>
      <protection/>
    </xf>
    <xf numFmtId="0" fontId="123" fillId="0" borderId="8" xfId="0" applyFont="1" applyFill="1" applyBorder="1" applyAlignment="1" applyProtection="1">
      <alignment horizontal="center" vertical="top" wrapText="1"/>
      <protection/>
    </xf>
    <xf numFmtId="0" fontId="124" fillId="0" borderId="8" xfId="0" applyFont="1" applyFill="1" applyBorder="1" applyAlignment="1" applyProtection="1">
      <alignment horizontal="center" wrapText="1"/>
      <protection/>
    </xf>
    <xf numFmtId="0" fontId="69" fillId="0" borderId="8" xfId="0" applyFont="1" applyFill="1" applyBorder="1" applyAlignment="1" applyProtection="1">
      <alignment horizontal="center"/>
      <protection/>
    </xf>
    <xf numFmtId="183" fontId="116" fillId="0" borderId="8" xfId="0" applyNumberFormat="1" applyFont="1" applyFill="1" applyBorder="1" applyAlignment="1" applyProtection="1">
      <alignment horizontal="center"/>
      <protection/>
    </xf>
    <xf numFmtId="0" fontId="65" fillId="0" borderId="8" xfId="0" applyFont="1" applyFill="1" applyBorder="1" applyAlignment="1" applyProtection="1">
      <alignment horizontal="left"/>
      <protection/>
    </xf>
    <xf numFmtId="0" fontId="73" fillId="38" borderId="31" xfId="0" applyFont="1" applyFill="1" applyBorder="1" applyAlignment="1" applyProtection="1">
      <alignment horizontal="center" vertical="center"/>
      <protection/>
    </xf>
    <xf numFmtId="0" fontId="73" fillId="38" borderId="42" xfId="0" applyFont="1" applyFill="1" applyBorder="1" applyAlignment="1" applyProtection="1">
      <alignment horizontal="center" vertical="center"/>
      <protection/>
    </xf>
    <xf numFmtId="0" fontId="73" fillId="38" borderId="32" xfId="0" applyFont="1" applyFill="1" applyBorder="1" applyAlignment="1" applyProtection="1">
      <alignment horizontal="center" vertical="center"/>
      <protection/>
    </xf>
    <xf numFmtId="0" fontId="73" fillId="38" borderId="22" xfId="0" applyFont="1" applyFill="1" applyBorder="1" applyAlignment="1" applyProtection="1">
      <alignment horizontal="center" vertical="center"/>
      <protection/>
    </xf>
    <xf numFmtId="0" fontId="65" fillId="46" borderId="8" xfId="0" applyFont="1" applyFill="1" applyBorder="1" applyAlignment="1" applyProtection="1">
      <alignment horizontal="center"/>
      <protection/>
    </xf>
    <xf numFmtId="0" fontId="73" fillId="38" borderId="7" xfId="0" applyFont="1" applyFill="1" applyBorder="1" applyAlignment="1" applyProtection="1">
      <alignment horizontal="center"/>
      <protection/>
    </xf>
    <xf numFmtId="0" fontId="73" fillId="38" borderId="30" xfId="0" applyFont="1" applyFill="1" applyBorder="1" applyAlignment="1" applyProtection="1">
      <alignment horizontal="center"/>
      <protection/>
    </xf>
    <xf numFmtId="0" fontId="69" fillId="0" borderId="44" xfId="0" applyFont="1" applyBorder="1" applyAlignment="1" applyProtection="1">
      <alignment horizontal="left" vertical="top" wrapText="1"/>
      <protection/>
    </xf>
    <xf numFmtId="0" fontId="69" fillId="0" borderId="47" xfId="0" applyFont="1" applyBorder="1" applyAlignment="1" applyProtection="1">
      <alignment horizontal="left" vertical="top" wrapText="1"/>
      <protection/>
    </xf>
    <xf numFmtId="0" fontId="69" fillId="0" borderId="0" xfId="0" applyFont="1" applyBorder="1" applyAlignment="1" applyProtection="1">
      <alignment horizontal="left" wrapText="1"/>
      <protection/>
    </xf>
    <xf numFmtId="0" fontId="69" fillId="0" borderId="28" xfId="0" applyFont="1" applyBorder="1" applyAlignment="1" applyProtection="1">
      <alignment horizontal="left" wrapText="1"/>
      <protection/>
    </xf>
    <xf numFmtId="0" fontId="69" fillId="0" borderId="0" xfId="0" applyFont="1" applyBorder="1" applyAlignment="1" applyProtection="1">
      <alignment horizontal="left" vertical="top" wrapText="1"/>
      <protection/>
    </xf>
    <xf numFmtId="0" fontId="69" fillId="0" borderId="28" xfId="0" applyFont="1" applyBorder="1" applyAlignment="1" applyProtection="1">
      <alignment horizontal="left" vertical="top" wrapText="1"/>
      <protection/>
    </xf>
    <xf numFmtId="0" fontId="95" fillId="47" borderId="21" xfId="0" applyFont="1" applyFill="1" applyBorder="1" applyAlignment="1" applyProtection="1">
      <alignment horizontal="center"/>
      <protection/>
    </xf>
    <xf numFmtId="172" fontId="69" fillId="45" borderId="20" xfId="0" applyNumberFormat="1" applyFont="1" applyFill="1" applyBorder="1" applyAlignment="1" applyProtection="1">
      <alignment horizontal="center"/>
      <protection locked="0"/>
    </xf>
    <xf numFmtId="0" fontId="116" fillId="45" borderId="66" xfId="0" applyFont="1" applyFill="1" applyBorder="1" applyAlignment="1" applyProtection="1">
      <alignment horizontal="center"/>
      <protection locked="0"/>
    </xf>
  </cellXfs>
  <cellStyles count="1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rgs.style" xfId="33"/>
    <cellStyle name="Besuchter Hyperlink" xfId="34"/>
    <cellStyle name="Buena" xfId="35"/>
    <cellStyle name="ç" xfId="36"/>
    <cellStyle name="ç_1. Demanda-Pomahuaca Pucara" xfId="37"/>
    <cellStyle name="ç_Anex. 1.1 al 2.18-prefact" xfId="38"/>
    <cellStyle name="ç_Anexo A-7.0 Balance Oferta-Demanda-Chota-" xfId="39"/>
    <cellStyle name="ç_Anexo A-7.0 Balance Oferta-Demanda-Cut y Chota-inf03" xfId="40"/>
    <cellStyle name="ç_criterios" xfId="41"/>
    <cellStyle name="ç_Marco Logico" xfId="42"/>
    <cellStyle name="ç_xx" xfId="43"/>
    <cellStyle name="Calc Currency (0)" xfId="44"/>
    <cellStyle name="Cálculo" xfId="45"/>
    <cellStyle name="Cancel" xfId="46"/>
    <cellStyle name="Celda de comprobación" xfId="47"/>
    <cellStyle name="Celda vinculada" xfId="48"/>
    <cellStyle name="Comma" xfId="49"/>
    <cellStyle name="Comma [0]_!!!GO" xfId="50"/>
    <cellStyle name="Comma_!!!GO" xfId="51"/>
    <cellStyle name="Comma0 - Style1" xfId="52"/>
    <cellStyle name="Comma0 - Style2" xfId="53"/>
    <cellStyle name="Comma1 - Estilo1" xfId="54"/>
    <cellStyle name="Comma1 - Style1" xfId="55"/>
    <cellStyle name="Comma1 - Style2" xfId="56"/>
    <cellStyle name="Copied" xfId="57"/>
    <cellStyle name="COST1" xfId="58"/>
    <cellStyle name="Currency" xfId="59"/>
    <cellStyle name="Currency [0]_!!!GO" xfId="60"/>
    <cellStyle name="Currency_!!!GO" xfId="61"/>
    <cellStyle name="Date" xfId="62"/>
    <cellStyle name="DIA" xfId="63"/>
    <cellStyle name="ENCABEZ1" xfId="64"/>
    <cellStyle name="ENCABEZ2" xfId="65"/>
    <cellStyle name="Encabezado 1" xfId="66"/>
    <cellStyle name="Encabezado 4" xfId="67"/>
    <cellStyle name="Énfasis1" xfId="68"/>
    <cellStyle name="Énfasis2" xfId="69"/>
    <cellStyle name="Énfasis3" xfId="70"/>
    <cellStyle name="Énfasis4" xfId="71"/>
    <cellStyle name="Énfasis5" xfId="72"/>
    <cellStyle name="Énfasis6" xfId="73"/>
    <cellStyle name="Entered" xfId="74"/>
    <cellStyle name="Entrada" xfId="75"/>
    <cellStyle name="EST1" xfId="76"/>
    <cellStyle name="Euro" xfId="77"/>
    <cellStyle name="Euro 2" xfId="78"/>
    <cellStyle name="Euro 2 2" xfId="79"/>
    <cellStyle name="Euro 2 3" xfId="80"/>
    <cellStyle name="Euro 3" xfId="81"/>
    <cellStyle name="Euro 4" xfId="82"/>
    <cellStyle name="Euro 5" xfId="83"/>
    <cellStyle name="Euro 6" xfId="84"/>
    <cellStyle name="F2" xfId="85"/>
    <cellStyle name="F2 - Estilo1" xfId="86"/>
    <cellStyle name="F2_1. Demanda-Pomahuaca Pucara" xfId="87"/>
    <cellStyle name="F3" xfId="88"/>
    <cellStyle name="F3 - Estilo2" xfId="89"/>
    <cellStyle name="F3_1. Demanda-Pomahuaca Pucara" xfId="90"/>
    <cellStyle name="F4" xfId="91"/>
    <cellStyle name="F4 - Estilo3" xfId="92"/>
    <cellStyle name="F4_1. Demanda-Pomahuaca Pucara" xfId="93"/>
    <cellStyle name="F5" xfId="94"/>
    <cellStyle name="F5 - Estilo4" xfId="95"/>
    <cellStyle name="F5_1. Demanda-Pomahuaca Pucara" xfId="96"/>
    <cellStyle name="F6" xfId="97"/>
    <cellStyle name="F6 - Estilo5" xfId="98"/>
    <cellStyle name="F6_1. Demanda-Pomahuaca Pucara" xfId="99"/>
    <cellStyle name="F7" xfId="100"/>
    <cellStyle name="F7 - Estilo6" xfId="101"/>
    <cellStyle name="F7_1. Demanda-Pomahuaca Pucara" xfId="102"/>
    <cellStyle name="F8" xfId="103"/>
    <cellStyle name="FIJO" xfId="104"/>
    <cellStyle name="FINANCIERO" xfId="105"/>
    <cellStyle name="Fixed" xfId="106"/>
    <cellStyle name="Grey" xfId="107"/>
    <cellStyle name="Header1" xfId="108"/>
    <cellStyle name="Header2" xfId="109"/>
    <cellStyle name="Heading1" xfId="110"/>
    <cellStyle name="Heading2" xfId="111"/>
    <cellStyle name="Hyperlink" xfId="112"/>
    <cellStyle name="Followed Hyperlink" xfId="113"/>
    <cellStyle name="Hyperlink" xfId="114"/>
    <cellStyle name="Incorrecto" xfId="115"/>
    <cellStyle name="Input [yellow]" xfId="116"/>
    <cellStyle name="Input Cells" xfId="117"/>
    <cellStyle name="Linked Cells" xfId="118"/>
    <cellStyle name="Comma" xfId="119"/>
    <cellStyle name="Comma [0]" xfId="120"/>
    <cellStyle name="Millares 2" xfId="121"/>
    <cellStyle name="Millares 3" xfId="122"/>
    <cellStyle name="Millares 4" xfId="123"/>
    <cellStyle name="Milliers [0]_!!!GO" xfId="124"/>
    <cellStyle name="Milliers_!!!GO" xfId="125"/>
    <cellStyle name="Currency" xfId="126"/>
    <cellStyle name="Currency [0]" xfId="127"/>
    <cellStyle name="Monétaire [0]_!!!GO" xfId="128"/>
    <cellStyle name="Monétaire_!!!GO" xfId="129"/>
    <cellStyle name="MONETARIO" xfId="130"/>
    <cellStyle name="Neutral" xfId="131"/>
    <cellStyle name="Normal - Style1" xfId="132"/>
    <cellStyle name="Normal 2" xfId="133"/>
    <cellStyle name="Normal 4" xfId="134"/>
    <cellStyle name="Normal_ELPU" xfId="135"/>
    <cellStyle name="Normal_EVA-ECO" xfId="136"/>
    <cellStyle name="Notas" xfId="137"/>
    <cellStyle name="Œ…‹æØ‚è [0.00]_!!!GO" xfId="138"/>
    <cellStyle name="Œ…‹æØ‚è_!!!GO" xfId="139"/>
    <cellStyle name="per.style" xfId="140"/>
    <cellStyle name="Percent" xfId="141"/>
    <cellStyle name="Percent [2]" xfId="142"/>
    <cellStyle name="Percent_1 y 2. C 3.0 Balance Oferta Demanda" xfId="143"/>
    <cellStyle name="Percent" xfId="144"/>
    <cellStyle name="PORCENTAJE 2" xfId="145"/>
    <cellStyle name="Porcentual 2" xfId="146"/>
    <cellStyle name="Porcentual 2 2" xfId="147"/>
    <cellStyle name="Porcentual 3" xfId="148"/>
    <cellStyle name="Porcentual 4" xfId="149"/>
    <cellStyle name="pricing" xfId="150"/>
    <cellStyle name="PSChar" xfId="151"/>
    <cellStyle name="R" xfId="152"/>
    <cellStyle name="R_1. Demanda-Pomahuaca Pucara" xfId="153"/>
    <cellStyle name="R_Anex. 1.1 al 2.18-prefact" xfId="154"/>
    <cellStyle name="R_Anexo 6.1 y 6.2 - Suministro LP RP RS" xfId="155"/>
    <cellStyle name="R_Anexo A-7.0 Balance Oferta-Demanda-Chota-" xfId="156"/>
    <cellStyle name="R_Anexo A-7.0 Balance Oferta-Demanda-Cut y Chota-inf03" xfId="157"/>
    <cellStyle name="R_criterios" xfId="158"/>
    <cellStyle name="R_Marco Logico" xfId="159"/>
    <cellStyle name="R_-Presupuesto RS  Proy  10   Old" xfId="160"/>
    <cellStyle name="R_REPCOSTO" xfId="161"/>
    <cellStyle name="R_REPCOSTO_1. Demanda-Pomahuaca Pucara" xfId="162"/>
    <cellStyle name="R_REPCOSTO_Anex. 1.1 al 2.18-prefact" xfId="163"/>
    <cellStyle name="R_REPCOSTO_Anexo A-7.0 Balance Oferta-Demanda-Chota-" xfId="164"/>
    <cellStyle name="R_REPCOSTO_Anexo A-7.0 Balance Oferta-Demanda-Cut y Chota-inf03" xfId="165"/>
    <cellStyle name="R_REPCOSTO_criterios" xfId="166"/>
    <cellStyle name="R_REPCOSTO_Marco Logico" xfId="167"/>
    <cellStyle name="R_REPCOSTO_-Presupuesto RS  Proy  10   Old" xfId="168"/>
    <cellStyle name="RevList" xfId="169"/>
    <cellStyle name="RM" xfId="170"/>
    <cellStyle name="Salida" xfId="171"/>
    <cellStyle name="Subtotal" xfId="172"/>
    <cellStyle name="Texto de advertencia" xfId="173"/>
    <cellStyle name="Texto explicativo" xfId="174"/>
    <cellStyle name="Título" xfId="175"/>
    <cellStyle name="Título 2" xfId="176"/>
    <cellStyle name="Título 3" xfId="177"/>
    <cellStyle name="Total" xfId="178"/>
  </cellStyles>
  <dxfs count="34">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ill>
        <patternFill>
          <bgColor theme="5" tint="0.5999600291252136"/>
        </patternFill>
      </fill>
    </dxf>
    <dxf>
      <fill>
        <patternFill>
          <bgColor theme="5" tint="0.599960029125213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externalLink" Target="externalLinks/externalLink6.xml" /><Relationship Id="rId30" Type="http://schemas.openxmlformats.org/officeDocument/2006/relationships/externalLink" Target="externalLinks/externalLink7.xml" /><Relationship Id="rId31" Type="http://schemas.openxmlformats.org/officeDocument/2006/relationships/externalLink" Target="externalLinks/externalLink8.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RESULTADOS!A1" /><Relationship Id="rId2" Type="http://schemas.openxmlformats.org/officeDocument/2006/relationships/hyperlink" Target="#Formatos!A1" /></Relationships>
</file>

<file path=xl/drawings/_rels/drawing10.xml.rels><?xml version="1.0" encoding="utf-8" standalone="yes"?><Relationships xmlns="http://schemas.openxmlformats.org/package/2006/relationships"><Relationship Id="rId1" Type="http://schemas.openxmlformats.org/officeDocument/2006/relationships/hyperlink" Target="#Entrada!A1" /><Relationship Id="rId2" Type="http://schemas.openxmlformats.org/officeDocument/2006/relationships/hyperlink" Target="#RESULTADOS!A1" /><Relationship Id="rId3" Type="http://schemas.openxmlformats.org/officeDocument/2006/relationships/hyperlink" Target="#Formatos!A1" /></Relationships>
</file>

<file path=xl/drawings/_rels/drawing11.xml.rels><?xml version="1.0" encoding="utf-8" standalone="yes"?><Relationships xmlns="http://schemas.openxmlformats.org/package/2006/relationships"><Relationship Id="rId1" Type="http://schemas.openxmlformats.org/officeDocument/2006/relationships/hyperlink" Target="#Entrada!A1" /><Relationship Id="rId2" Type="http://schemas.openxmlformats.org/officeDocument/2006/relationships/hyperlink" Target="#RESULTADOS!A1" /><Relationship Id="rId3" Type="http://schemas.openxmlformats.org/officeDocument/2006/relationships/hyperlink" Target="#Formatos!A1" /></Relationships>
</file>

<file path=xl/drawings/_rels/drawing12.xml.rels><?xml version="1.0" encoding="utf-8" standalone="yes"?><Relationships xmlns="http://schemas.openxmlformats.org/package/2006/relationships"><Relationship Id="rId1" Type="http://schemas.openxmlformats.org/officeDocument/2006/relationships/hyperlink" Target="#Entrada!A1" /><Relationship Id="rId2" Type="http://schemas.openxmlformats.org/officeDocument/2006/relationships/hyperlink" Target="#RESULTADOS!A1" /><Relationship Id="rId3" Type="http://schemas.openxmlformats.org/officeDocument/2006/relationships/hyperlink" Target="#Formatos!A1" /></Relationships>
</file>

<file path=xl/drawings/_rels/drawing13.xml.rels><?xml version="1.0" encoding="utf-8" standalone="yes"?><Relationships xmlns="http://schemas.openxmlformats.org/package/2006/relationships"><Relationship Id="rId1" Type="http://schemas.openxmlformats.org/officeDocument/2006/relationships/hyperlink" Target="#Entrada!A1" /><Relationship Id="rId2" Type="http://schemas.openxmlformats.org/officeDocument/2006/relationships/hyperlink" Target="#RESULTADOS!A1" /><Relationship Id="rId3" Type="http://schemas.openxmlformats.org/officeDocument/2006/relationships/hyperlink" Target="#Formatos!A1" /></Relationships>
</file>

<file path=xl/drawings/_rels/drawing14.xml.rels><?xml version="1.0" encoding="utf-8" standalone="yes"?><Relationships xmlns="http://schemas.openxmlformats.org/package/2006/relationships"><Relationship Id="rId1" Type="http://schemas.openxmlformats.org/officeDocument/2006/relationships/hyperlink" Target="#Entrada!A1" /><Relationship Id="rId2" Type="http://schemas.openxmlformats.org/officeDocument/2006/relationships/hyperlink" Target="#RESULTADOS!A1" /><Relationship Id="rId3" Type="http://schemas.openxmlformats.org/officeDocument/2006/relationships/hyperlink" Target="#Formatos!A1" /></Relationships>
</file>

<file path=xl/drawings/_rels/drawing15.xml.rels><?xml version="1.0" encoding="utf-8" standalone="yes"?><Relationships xmlns="http://schemas.openxmlformats.org/package/2006/relationships"><Relationship Id="rId1" Type="http://schemas.openxmlformats.org/officeDocument/2006/relationships/hyperlink" Target="#Entrada!A1" /><Relationship Id="rId2" Type="http://schemas.openxmlformats.org/officeDocument/2006/relationships/hyperlink" Target="#RESULTADOS!A1" /><Relationship Id="rId3" Type="http://schemas.openxmlformats.org/officeDocument/2006/relationships/hyperlink" Target="#Formatos!A1" /></Relationships>
</file>

<file path=xl/drawings/_rels/drawing16.xml.rels><?xml version="1.0" encoding="utf-8" standalone="yes"?><Relationships xmlns="http://schemas.openxmlformats.org/package/2006/relationships"><Relationship Id="rId1" Type="http://schemas.openxmlformats.org/officeDocument/2006/relationships/hyperlink" Target="#Entrada!A1" /><Relationship Id="rId2" Type="http://schemas.openxmlformats.org/officeDocument/2006/relationships/hyperlink" Target="#RESULTADOS!A1" /><Relationship Id="rId3" Type="http://schemas.openxmlformats.org/officeDocument/2006/relationships/hyperlink" Target="#Formatos!A1" /></Relationships>
</file>

<file path=xl/drawings/_rels/drawing17.xml.rels><?xml version="1.0" encoding="utf-8" standalone="yes"?><Relationships xmlns="http://schemas.openxmlformats.org/package/2006/relationships"><Relationship Id="rId1" Type="http://schemas.openxmlformats.org/officeDocument/2006/relationships/hyperlink" Target="#Entrada!A1" /><Relationship Id="rId2" Type="http://schemas.openxmlformats.org/officeDocument/2006/relationships/hyperlink" Target="#RESULTADOS!A1" /><Relationship Id="rId3" Type="http://schemas.openxmlformats.org/officeDocument/2006/relationships/hyperlink" Target="#Formatos!A1" /></Relationships>
</file>

<file path=xl/drawings/_rels/drawing18.xml.rels><?xml version="1.0" encoding="utf-8" standalone="yes"?><Relationships xmlns="http://schemas.openxmlformats.org/package/2006/relationships"><Relationship Id="rId1" Type="http://schemas.openxmlformats.org/officeDocument/2006/relationships/hyperlink" Target="#Entrada!A1" /><Relationship Id="rId2" Type="http://schemas.openxmlformats.org/officeDocument/2006/relationships/hyperlink" Target="#RESULTADOS!A1" /><Relationship Id="rId3" Type="http://schemas.openxmlformats.org/officeDocument/2006/relationships/hyperlink" Target="#Formatos!A1" /></Relationships>
</file>

<file path=xl/drawings/_rels/drawing19.xml.rels><?xml version="1.0" encoding="utf-8" standalone="yes"?><Relationships xmlns="http://schemas.openxmlformats.org/package/2006/relationships"><Relationship Id="rId1" Type="http://schemas.openxmlformats.org/officeDocument/2006/relationships/hyperlink" Target="#Entrada!A1" /><Relationship Id="rId2" Type="http://schemas.openxmlformats.org/officeDocument/2006/relationships/hyperlink" Target="#RESULTADOS!A1" /><Relationship Id="rId3" Type="http://schemas.openxmlformats.org/officeDocument/2006/relationships/hyperlink" Target="#Formatos!A1" /></Relationships>
</file>

<file path=xl/drawings/_rels/drawing2.xml.rels><?xml version="1.0" encoding="utf-8" standalone="yes"?><Relationships xmlns="http://schemas.openxmlformats.org/package/2006/relationships"><Relationship Id="rId1" Type="http://schemas.openxmlformats.org/officeDocument/2006/relationships/hyperlink" Target="#Entrada!A1" /><Relationship Id="rId2" Type="http://schemas.openxmlformats.org/officeDocument/2006/relationships/hyperlink" Target="#Formatos!A1" /></Relationships>
</file>

<file path=xl/drawings/_rels/drawing20.xml.rels><?xml version="1.0" encoding="utf-8" standalone="yes"?><Relationships xmlns="http://schemas.openxmlformats.org/package/2006/relationships"><Relationship Id="rId1" Type="http://schemas.openxmlformats.org/officeDocument/2006/relationships/hyperlink" Target="#Entrada!A1" /><Relationship Id="rId2" Type="http://schemas.openxmlformats.org/officeDocument/2006/relationships/hyperlink" Target="#RESULTADOS!A1" /><Relationship Id="rId3" Type="http://schemas.openxmlformats.org/officeDocument/2006/relationships/hyperlink" Target="#Formatos!A1" /></Relationships>
</file>

<file path=xl/drawings/_rels/drawing21.xml.rels><?xml version="1.0" encoding="utf-8" standalone="yes"?><Relationships xmlns="http://schemas.openxmlformats.org/package/2006/relationships"><Relationship Id="rId1" Type="http://schemas.openxmlformats.org/officeDocument/2006/relationships/hyperlink" Target="#Entrada!A1" /><Relationship Id="rId2" Type="http://schemas.openxmlformats.org/officeDocument/2006/relationships/hyperlink" Target="#RESULTADOS!A1" /><Relationship Id="rId3" Type="http://schemas.openxmlformats.org/officeDocument/2006/relationships/hyperlink" Target="#Formatos!A1" /></Relationships>
</file>

<file path=xl/drawings/_rels/drawing3.xml.rels><?xml version="1.0" encoding="utf-8" standalone="yes"?><Relationships xmlns="http://schemas.openxmlformats.org/package/2006/relationships"><Relationship Id="rId1" Type="http://schemas.openxmlformats.org/officeDocument/2006/relationships/hyperlink" Target="#Entrada!A1" /><Relationship Id="rId2" Type="http://schemas.openxmlformats.org/officeDocument/2006/relationships/hyperlink" Target="#RESULTADOS!A1" /></Relationships>
</file>

<file path=xl/drawings/_rels/drawing4.xml.rels><?xml version="1.0" encoding="utf-8" standalone="yes"?><Relationships xmlns="http://schemas.openxmlformats.org/package/2006/relationships"><Relationship Id="rId1" Type="http://schemas.openxmlformats.org/officeDocument/2006/relationships/hyperlink" Target="#Entrada!A1" /><Relationship Id="rId2" Type="http://schemas.openxmlformats.org/officeDocument/2006/relationships/hyperlink" Target="#RESULTADOS!A1" /><Relationship Id="rId3" Type="http://schemas.openxmlformats.org/officeDocument/2006/relationships/hyperlink" Target="#Formatos!A1" /></Relationships>
</file>

<file path=xl/drawings/_rels/drawing5.xml.rels><?xml version="1.0" encoding="utf-8" standalone="yes"?><Relationships xmlns="http://schemas.openxmlformats.org/package/2006/relationships"><Relationship Id="rId1" Type="http://schemas.openxmlformats.org/officeDocument/2006/relationships/hyperlink" Target="#Entrada!A1" /><Relationship Id="rId2" Type="http://schemas.openxmlformats.org/officeDocument/2006/relationships/hyperlink" Target="#RESULTADOS!A1" /><Relationship Id="rId3" Type="http://schemas.openxmlformats.org/officeDocument/2006/relationships/hyperlink" Target="#Formatos!A1" /></Relationships>
</file>

<file path=xl/drawings/_rels/drawing6.xml.rels><?xml version="1.0" encoding="utf-8" standalone="yes"?><Relationships xmlns="http://schemas.openxmlformats.org/package/2006/relationships"><Relationship Id="rId1" Type="http://schemas.openxmlformats.org/officeDocument/2006/relationships/hyperlink" Target="#Entrada!A1" /><Relationship Id="rId2" Type="http://schemas.openxmlformats.org/officeDocument/2006/relationships/hyperlink" Target="#RESULTADOS!A1" /><Relationship Id="rId3" Type="http://schemas.openxmlformats.org/officeDocument/2006/relationships/hyperlink" Target="#Formatos!A1" /></Relationships>
</file>

<file path=xl/drawings/_rels/drawing7.xml.rels><?xml version="1.0" encoding="utf-8" standalone="yes"?><Relationships xmlns="http://schemas.openxmlformats.org/package/2006/relationships"><Relationship Id="rId1" Type="http://schemas.openxmlformats.org/officeDocument/2006/relationships/hyperlink" Target="#Entrada!A1" /><Relationship Id="rId2" Type="http://schemas.openxmlformats.org/officeDocument/2006/relationships/hyperlink" Target="#RESULTADOS!A1" /><Relationship Id="rId3" Type="http://schemas.openxmlformats.org/officeDocument/2006/relationships/hyperlink" Target="#Formatos!A1" /></Relationships>
</file>

<file path=xl/drawings/_rels/drawing8.xml.rels><?xml version="1.0" encoding="utf-8" standalone="yes"?><Relationships xmlns="http://schemas.openxmlformats.org/package/2006/relationships"><Relationship Id="rId1" Type="http://schemas.openxmlformats.org/officeDocument/2006/relationships/hyperlink" Target="#Entrada!A1" /><Relationship Id="rId2" Type="http://schemas.openxmlformats.org/officeDocument/2006/relationships/hyperlink" Target="#RESULTADOS!A1" /><Relationship Id="rId3" Type="http://schemas.openxmlformats.org/officeDocument/2006/relationships/hyperlink" Target="#Formatos!A1" /></Relationships>
</file>

<file path=xl/drawings/_rels/drawing9.xml.rels><?xml version="1.0" encoding="utf-8" standalone="yes"?><Relationships xmlns="http://schemas.openxmlformats.org/package/2006/relationships"><Relationship Id="rId1" Type="http://schemas.openxmlformats.org/officeDocument/2006/relationships/hyperlink" Target="#Entrada!A1" /><Relationship Id="rId2" Type="http://schemas.openxmlformats.org/officeDocument/2006/relationships/hyperlink" Target="#RESULTADOS!A1" /><Relationship Id="rId3" Type="http://schemas.openxmlformats.org/officeDocument/2006/relationships/hyperlink" Target="#Formato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2</xdr:col>
      <xdr:colOff>295275</xdr:colOff>
      <xdr:row>1</xdr:row>
      <xdr:rowOff>28575</xdr:rowOff>
    </xdr:to>
    <xdr:grpSp>
      <xdr:nvGrpSpPr>
        <xdr:cNvPr id="1" name="6 Grupo"/>
        <xdr:cNvGrpSpPr>
          <a:grpSpLocks/>
        </xdr:cNvGrpSpPr>
      </xdr:nvGrpSpPr>
      <xdr:grpSpPr>
        <a:xfrm>
          <a:off x="57150" y="57150"/>
          <a:ext cx="1685925" cy="247650"/>
          <a:chOff x="52561" y="61168"/>
          <a:chExt cx="1695450" cy="247650"/>
        </a:xfrm>
        <a:solidFill>
          <a:srgbClr val="FFFFFF"/>
        </a:solidFill>
      </xdr:grpSpPr>
      <xdr:sp>
        <xdr:nvSpPr>
          <xdr:cNvPr id="2" name="3 Corchetes">
            <a:hlinkClick r:id="rId1"/>
          </xdr:cNvPr>
          <xdr:cNvSpPr>
            <a:spLocks/>
          </xdr:cNvSpPr>
        </xdr:nvSpPr>
        <xdr:spPr>
          <a:xfrm>
            <a:off x="52561" y="61168"/>
            <a:ext cx="871461"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Resultados</a:t>
            </a:r>
          </a:p>
        </xdr:txBody>
      </xdr:sp>
      <xdr:sp>
        <xdr:nvSpPr>
          <xdr:cNvPr id="3" name="4 Corchetes">
            <a:hlinkClick r:id="rId2"/>
          </xdr:cNvPr>
          <xdr:cNvSpPr>
            <a:spLocks/>
          </xdr:cNvSpPr>
        </xdr:nvSpPr>
        <xdr:spPr>
          <a:xfrm>
            <a:off x="981668" y="61168"/>
            <a:ext cx="766343"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Formatos</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47625</xdr:rowOff>
    </xdr:from>
    <xdr:to>
      <xdr:col>1</xdr:col>
      <xdr:colOff>2238375</xdr:colOff>
      <xdr:row>0</xdr:row>
      <xdr:rowOff>295275</xdr:rowOff>
    </xdr:to>
    <xdr:grpSp>
      <xdr:nvGrpSpPr>
        <xdr:cNvPr id="1" name="1 Grupo"/>
        <xdr:cNvGrpSpPr>
          <a:grpSpLocks/>
        </xdr:cNvGrpSpPr>
      </xdr:nvGrpSpPr>
      <xdr:grpSpPr>
        <a:xfrm>
          <a:off x="66675" y="47625"/>
          <a:ext cx="2438400" cy="247650"/>
          <a:chOff x="95250" y="66675"/>
          <a:chExt cx="2438400" cy="247650"/>
        </a:xfrm>
        <a:solidFill>
          <a:srgbClr val="FFFFFF"/>
        </a:solidFill>
      </xdr:grpSpPr>
      <xdr:sp>
        <xdr:nvSpPr>
          <xdr:cNvPr id="2" name="2 Corchetes">
            <a:hlinkClick r:id="rId1"/>
          </xdr:cNvPr>
          <xdr:cNvSpPr>
            <a:spLocks/>
          </xdr:cNvSpPr>
        </xdr:nvSpPr>
        <xdr:spPr>
          <a:xfrm>
            <a:off x="95250" y="66675"/>
            <a:ext cx="704698"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Entrada</a:t>
            </a:r>
          </a:p>
        </xdr:txBody>
      </xdr:sp>
      <xdr:sp>
        <xdr:nvSpPr>
          <xdr:cNvPr id="3" name="3 Corchetes">
            <a:hlinkClick r:id="rId2"/>
          </xdr:cNvPr>
          <xdr:cNvSpPr>
            <a:spLocks/>
          </xdr:cNvSpPr>
        </xdr:nvSpPr>
        <xdr:spPr>
          <a:xfrm>
            <a:off x="838352" y="66675"/>
            <a:ext cx="876605"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Resultados</a:t>
            </a:r>
          </a:p>
        </xdr:txBody>
      </xdr:sp>
      <xdr:sp>
        <xdr:nvSpPr>
          <xdr:cNvPr id="4" name="4 Corchetes">
            <a:hlinkClick r:id="rId3"/>
          </xdr:cNvPr>
          <xdr:cNvSpPr>
            <a:spLocks/>
          </xdr:cNvSpPr>
        </xdr:nvSpPr>
        <xdr:spPr>
          <a:xfrm>
            <a:off x="1771650" y="66675"/>
            <a:ext cx="762000"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Formatos</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2219325</xdr:colOff>
      <xdr:row>0</xdr:row>
      <xdr:rowOff>295275</xdr:rowOff>
    </xdr:to>
    <xdr:grpSp>
      <xdr:nvGrpSpPr>
        <xdr:cNvPr id="1" name="1 Grupo"/>
        <xdr:cNvGrpSpPr>
          <a:grpSpLocks/>
        </xdr:cNvGrpSpPr>
      </xdr:nvGrpSpPr>
      <xdr:grpSpPr>
        <a:xfrm>
          <a:off x="47625" y="47625"/>
          <a:ext cx="2438400" cy="247650"/>
          <a:chOff x="95250" y="66675"/>
          <a:chExt cx="2438400" cy="247650"/>
        </a:xfrm>
        <a:solidFill>
          <a:srgbClr val="FFFFFF"/>
        </a:solidFill>
      </xdr:grpSpPr>
      <xdr:sp>
        <xdr:nvSpPr>
          <xdr:cNvPr id="2" name="2 Corchetes">
            <a:hlinkClick r:id="rId1"/>
          </xdr:cNvPr>
          <xdr:cNvSpPr>
            <a:spLocks/>
          </xdr:cNvSpPr>
        </xdr:nvSpPr>
        <xdr:spPr>
          <a:xfrm>
            <a:off x="95250" y="66675"/>
            <a:ext cx="704698"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Entrada</a:t>
            </a:r>
          </a:p>
        </xdr:txBody>
      </xdr:sp>
      <xdr:sp>
        <xdr:nvSpPr>
          <xdr:cNvPr id="3" name="3 Corchetes">
            <a:hlinkClick r:id="rId2"/>
          </xdr:cNvPr>
          <xdr:cNvSpPr>
            <a:spLocks/>
          </xdr:cNvSpPr>
        </xdr:nvSpPr>
        <xdr:spPr>
          <a:xfrm>
            <a:off x="838352" y="66675"/>
            <a:ext cx="876605"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Resultados</a:t>
            </a:r>
          </a:p>
        </xdr:txBody>
      </xdr:sp>
      <xdr:sp>
        <xdr:nvSpPr>
          <xdr:cNvPr id="4" name="4 Corchetes">
            <a:hlinkClick r:id="rId3"/>
          </xdr:cNvPr>
          <xdr:cNvSpPr>
            <a:spLocks/>
          </xdr:cNvSpPr>
        </xdr:nvSpPr>
        <xdr:spPr>
          <a:xfrm>
            <a:off x="1771650" y="66675"/>
            <a:ext cx="762000"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Formatos</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1</xdr:col>
      <xdr:colOff>2105025</xdr:colOff>
      <xdr:row>0</xdr:row>
      <xdr:rowOff>285750</xdr:rowOff>
    </xdr:to>
    <xdr:grpSp>
      <xdr:nvGrpSpPr>
        <xdr:cNvPr id="1" name="1 Grupo"/>
        <xdr:cNvGrpSpPr>
          <a:grpSpLocks/>
        </xdr:cNvGrpSpPr>
      </xdr:nvGrpSpPr>
      <xdr:grpSpPr>
        <a:xfrm>
          <a:off x="47625" y="38100"/>
          <a:ext cx="2438400" cy="247650"/>
          <a:chOff x="95250" y="66675"/>
          <a:chExt cx="2438400" cy="247650"/>
        </a:xfrm>
        <a:solidFill>
          <a:srgbClr val="FFFFFF"/>
        </a:solidFill>
      </xdr:grpSpPr>
      <xdr:sp>
        <xdr:nvSpPr>
          <xdr:cNvPr id="2" name="2 Corchetes">
            <a:hlinkClick r:id="rId1"/>
          </xdr:cNvPr>
          <xdr:cNvSpPr>
            <a:spLocks/>
          </xdr:cNvSpPr>
        </xdr:nvSpPr>
        <xdr:spPr>
          <a:xfrm>
            <a:off x="95250" y="66675"/>
            <a:ext cx="704698"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Entrada</a:t>
            </a:r>
          </a:p>
        </xdr:txBody>
      </xdr:sp>
      <xdr:sp>
        <xdr:nvSpPr>
          <xdr:cNvPr id="3" name="3 Corchetes">
            <a:hlinkClick r:id="rId2"/>
          </xdr:cNvPr>
          <xdr:cNvSpPr>
            <a:spLocks/>
          </xdr:cNvSpPr>
        </xdr:nvSpPr>
        <xdr:spPr>
          <a:xfrm>
            <a:off x="838352" y="66675"/>
            <a:ext cx="876605"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Resultados</a:t>
            </a:r>
          </a:p>
        </xdr:txBody>
      </xdr:sp>
      <xdr:sp>
        <xdr:nvSpPr>
          <xdr:cNvPr id="4" name="4 Corchetes">
            <a:hlinkClick r:id="rId3"/>
          </xdr:cNvPr>
          <xdr:cNvSpPr>
            <a:spLocks/>
          </xdr:cNvSpPr>
        </xdr:nvSpPr>
        <xdr:spPr>
          <a:xfrm>
            <a:off x="1771650" y="66675"/>
            <a:ext cx="762000"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Formatos</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1</xdr:col>
      <xdr:colOff>2219325</xdr:colOff>
      <xdr:row>0</xdr:row>
      <xdr:rowOff>285750</xdr:rowOff>
    </xdr:to>
    <xdr:grpSp>
      <xdr:nvGrpSpPr>
        <xdr:cNvPr id="1" name="1 Grupo"/>
        <xdr:cNvGrpSpPr>
          <a:grpSpLocks/>
        </xdr:cNvGrpSpPr>
      </xdr:nvGrpSpPr>
      <xdr:grpSpPr>
        <a:xfrm>
          <a:off x="47625" y="38100"/>
          <a:ext cx="2438400" cy="247650"/>
          <a:chOff x="95250" y="66675"/>
          <a:chExt cx="2438400" cy="247650"/>
        </a:xfrm>
        <a:solidFill>
          <a:srgbClr val="FFFFFF"/>
        </a:solidFill>
      </xdr:grpSpPr>
      <xdr:sp>
        <xdr:nvSpPr>
          <xdr:cNvPr id="2" name="2 Corchetes">
            <a:hlinkClick r:id="rId1"/>
          </xdr:cNvPr>
          <xdr:cNvSpPr>
            <a:spLocks/>
          </xdr:cNvSpPr>
        </xdr:nvSpPr>
        <xdr:spPr>
          <a:xfrm>
            <a:off x="95250" y="66675"/>
            <a:ext cx="704698"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Entrada</a:t>
            </a:r>
          </a:p>
        </xdr:txBody>
      </xdr:sp>
      <xdr:sp>
        <xdr:nvSpPr>
          <xdr:cNvPr id="3" name="3 Corchetes">
            <a:hlinkClick r:id="rId2"/>
          </xdr:cNvPr>
          <xdr:cNvSpPr>
            <a:spLocks/>
          </xdr:cNvSpPr>
        </xdr:nvSpPr>
        <xdr:spPr>
          <a:xfrm>
            <a:off x="838352" y="66675"/>
            <a:ext cx="876605"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Resultados</a:t>
            </a:r>
          </a:p>
        </xdr:txBody>
      </xdr:sp>
      <xdr:sp>
        <xdr:nvSpPr>
          <xdr:cNvPr id="4" name="4 Corchetes">
            <a:hlinkClick r:id="rId3"/>
          </xdr:cNvPr>
          <xdr:cNvSpPr>
            <a:spLocks/>
          </xdr:cNvSpPr>
        </xdr:nvSpPr>
        <xdr:spPr>
          <a:xfrm>
            <a:off x="1771650" y="66675"/>
            <a:ext cx="762000"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Formatos</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2</xdr:col>
      <xdr:colOff>190500</xdr:colOff>
      <xdr:row>0</xdr:row>
      <xdr:rowOff>295275</xdr:rowOff>
    </xdr:to>
    <xdr:grpSp>
      <xdr:nvGrpSpPr>
        <xdr:cNvPr id="1" name="1 Grupo"/>
        <xdr:cNvGrpSpPr>
          <a:grpSpLocks/>
        </xdr:cNvGrpSpPr>
      </xdr:nvGrpSpPr>
      <xdr:grpSpPr>
        <a:xfrm>
          <a:off x="47625" y="47625"/>
          <a:ext cx="2438400" cy="247650"/>
          <a:chOff x="95250" y="66675"/>
          <a:chExt cx="2438400" cy="247650"/>
        </a:xfrm>
        <a:solidFill>
          <a:srgbClr val="FFFFFF"/>
        </a:solidFill>
      </xdr:grpSpPr>
      <xdr:sp>
        <xdr:nvSpPr>
          <xdr:cNvPr id="2" name="2 Corchetes">
            <a:hlinkClick r:id="rId1"/>
          </xdr:cNvPr>
          <xdr:cNvSpPr>
            <a:spLocks/>
          </xdr:cNvSpPr>
        </xdr:nvSpPr>
        <xdr:spPr>
          <a:xfrm>
            <a:off x="95250" y="66675"/>
            <a:ext cx="704698"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Entrada</a:t>
            </a:r>
          </a:p>
        </xdr:txBody>
      </xdr:sp>
      <xdr:sp>
        <xdr:nvSpPr>
          <xdr:cNvPr id="3" name="3 Corchetes">
            <a:hlinkClick r:id="rId2"/>
          </xdr:cNvPr>
          <xdr:cNvSpPr>
            <a:spLocks/>
          </xdr:cNvSpPr>
        </xdr:nvSpPr>
        <xdr:spPr>
          <a:xfrm>
            <a:off x="838352" y="66675"/>
            <a:ext cx="876605"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Resultados</a:t>
            </a:r>
          </a:p>
        </xdr:txBody>
      </xdr:sp>
      <xdr:sp>
        <xdr:nvSpPr>
          <xdr:cNvPr id="4" name="4 Corchetes">
            <a:hlinkClick r:id="rId3"/>
          </xdr:cNvPr>
          <xdr:cNvSpPr>
            <a:spLocks/>
          </xdr:cNvSpPr>
        </xdr:nvSpPr>
        <xdr:spPr>
          <a:xfrm>
            <a:off x="1771650" y="66675"/>
            <a:ext cx="762000"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Formatos</a:t>
            </a:r>
          </a:p>
        </xdr:txBody>
      </xdr:sp>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2</xdr:col>
      <xdr:colOff>190500</xdr:colOff>
      <xdr:row>0</xdr:row>
      <xdr:rowOff>276225</xdr:rowOff>
    </xdr:to>
    <xdr:grpSp>
      <xdr:nvGrpSpPr>
        <xdr:cNvPr id="1" name="1 Grupo"/>
        <xdr:cNvGrpSpPr>
          <a:grpSpLocks/>
        </xdr:cNvGrpSpPr>
      </xdr:nvGrpSpPr>
      <xdr:grpSpPr>
        <a:xfrm>
          <a:off x="47625" y="28575"/>
          <a:ext cx="2438400" cy="247650"/>
          <a:chOff x="95250" y="66675"/>
          <a:chExt cx="2438400" cy="247650"/>
        </a:xfrm>
        <a:solidFill>
          <a:srgbClr val="FFFFFF"/>
        </a:solidFill>
      </xdr:grpSpPr>
      <xdr:sp>
        <xdr:nvSpPr>
          <xdr:cNvPr id="2" name="2 Corchetes">
            <a:hlinkClick r:id="rId1"/>
          </xdr:cNvPr>
          <xdr:cNvSpPr>
            <a:spLocks/>
          </xdr:cNvSpPr>
        </xdr:nvSpPr>
        <xdr:spPr>
          <a:xfrm>
            <a:off x="95250" y="66675"/>
            <a:ext cx="704698"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Entrada</a:t>
            </a:r>
          </a:p>
        </xdr:txBody>
      </xdr:sp>
      <xdr:sp>
        <xdr:nvSpPr>
          <xdr:cNvPr id="3" name="3 Corchetes">
            <a:hlinkClick r:id="rId2"/>
          </xdr:cNvPr>
          <xdr:cNvSpPr>
            <a:spLocks/>
          </xdr:cNvSpPr>
        </xdr:nvSpPr>
        <xdr:spPr>
          <a:xfrm>
            <a:off x="838352" y="66675"/>
            <a:ext cx="876605"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Resultados</a:t>
            </a:r>
          </a:p>
        </xdr:txBody>
      </xdr:sp>
      <xdr:sp>
        <xdr:nvSpPr>
          <xdr:cNvPr id="4" name="4 Corchetes">
            <a:hlinkClick r:id="rId3"/>
          </xdr:cNvPr>
          <xdr:cNvSpPr>
            <a:spLocks/>
          </xdr:cNvSpPr>
        </xdr:nvSpPr>
        <xdr:spPr>
          <a:xfrm>
            <a:off x="1771650" y="66675"/>
            <a:ext cx="762000"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Formatos</a:t>
            </a:r>
          </a:p>
        </xdr:txBody>
      </xdr:sp>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3</xdr:col>
      <xdr:colOff>104775</xdr:colOff>
      <xdr:row>0</xdr:row>
      <xdr:rowOff>285750</xdr:rowOff>
    </xdr:to>
    <xdr:grpSp>
      <xdr:nvGrpSpPr>
        <xdr:cNvPr id="1" name="1 Grupo"/>
        <xdr:cNvGrpSpPr>
          <a:grpSpLocks/>
        </xdr:cNvGrpSpPr>
      </xdr:nvGrpSpPr>
      <xdr:grpSpPr>
        <a:xfrm>
          <a:off x="57150" y="38100"/>
          <a:ext cx="2581275" cy="247650"/>
          <a:chOff x="95250" y="66675"/>
          <a:chExt cx="2438400" cy="247650"/>
        </a:xfrm>
        <a:solidFill>
          <a:srgbClr val="FFFFFF"/>
        </a:solidFill>
      </xdr:grpSpPr>
      <xdr:sp>
        <xdr:nvSpPr>
          <xdr:cNvPr id="2" name="2 Corchetes">
            <a:hlinkClick r:id="rId1"/>
          </xdr:cNvPr>
          <xdr:cNvSpPr>
            <a:spLocks/>
          </xdr:cNvSpPr>
        </xdr:nvSpPr>
        <xdr:spPr>
          <a:xfrm>
            <a:off x="95250" y="66675"/>
            <a:ext cx="701650"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Entrada</a:t>
            </a:r>
          </a:p>
        </xdr:txBody>
      </xdr:sp>
      <xdr:sp>
        <xdr:nvSpPr>
          <xdr:cNvPr id="3" name="3 Corchetes">
            <a:hlinkClick r:id="rId2"/>
          </xdr:cNvPr>
          <xdr:cNvSpPr>
            <a:spLocks/>
          </xdr:cNvSpPr>
        </xdr:nvSpPr>
        <xdr:spPr>
          <a:xfrm>
            <a:off x="842010" y="66675"/>
            <a:ext cx="872947"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Resultados</a:t>
            </a:r>
          </a:p>
        </xdr:txBody>
      </xdr:sp>
      <xdr:sp>
        <xdr:nvSpPr>
          <xdr:cNvPr id="4" name="4 Corchetes">
            <a:hlinkClick r:id="rId3"/>
          </xdr:cNvPr>
          <xdr:cNvSpPr>
            <a:spLocks/>
          </xdr:cNvSpPr>
        </xdr:nvSpPr>
        <xdr:spPr>
          <a:xfrm>
            <a:off x="1768602" y="66675"/>
            <a:ext cx="765048"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Formatos</a:t>
            </a:r>
          </a:p>
        </xdr:txBody>
      </xdr:sp>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3</xdr:col>
      <xdr:colOff>104775</xdr:colOff>
      <xdr:row>0</xdr:row>
      <xdr:rowOff>285750</xdr:rowOff>
    </xdr:to>
    <xdr:grpSp>
      <xdr:nvGrpSpPr>
        <xdr:cNvPr id="1" name="1 Grupo"/>
        <xdr:cNvGrpSpPr>
          <a:grpSpLocks/>
        </xdr:cNvGrpSpPr>
      </xdr:nvGrpSpPr>
      <xdr:grpSpPr>
        <a:xfrm>
          <a:off x="57150" y="38100"/>
          <a:ext cx="2638425" cy="247650"/>
          <a:chOff x="95250" y="66675"/>
          <a:chExt cx="2438400" cy="247650"/>
        </a:xfrm>
        <a:solidFill>
          <a:srgbClr val="FFFFFF"/>
        </a:solidFill>
      </xdr:grpSpPr>
      <xdr:sp>
        <xdr:nvSpPr>
          <xdr:cNvPr id="2" name="2 Corchetes">
            <a:hlinkClick r:id="rId1"/>
          </xdr:cNvPr>
          <xdr:cNvSpPr>
            <a:spLocks/>
          </xdr:cNvSpPr>
        </xdr:nvSpPr>
        <xdr:spPr>
          <a:xfrm>
            <a:off x="95250" y="66675"/>
            <a:ext cx="704088"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Entrada</a:t>
            </a:r>
          </a:p>
        </xdr:txBody>
      </xdr:sp>
      <xdr:sp>
        <xdr:nvSpPr>
          <xdr:cNvPr id="3" name="3 Corchetes">
            <a:hlinkClick r:id="rId2"/>
          </xdr:cNvPr>
          <xdr:cNvSpPr>
            <a:spLocks/>
          </xdr:cNvSpPr>
        </xdr:nvSpPr>
        <xdr:spPr>
          <a:xfrm>
            <a:off x="834695" y="66675"/>
            <a:ext cx="880262"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Resultados</a:t>
            </a:r>
          </a:p>
        </xdr:txBody>
      </xdr:sp>
      <xdr:sp>
        <xdr:nvSpPr>
          <xdr:cNvPr id="4" name="4 Corchetes">
            <a:hlinkClick r:id="rId3"/>
          </xdr:cNvPr>
          <xdr:cNvSpPr>
            <a:spLocks/>
          </xdr:cNvSpPr>
        </xdr:nvSpPr>
        <xdr:spPr>
          <a:xfrm>
            <a:off x="1767992" y="66675"/>
            <a:ext cx="765658"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Formatos</a:t>
            </a:r>
          </a:p>
        </xdr:txBody>
      </xdr:sp>
    </xdr:grp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2</xdr:col>
      <xdr:colOff>76200</xdr:colOff>
      <xdr:row>0</xdr:row>
      <xdr:rowOff>285750</xdr:rowOff>
    </xdr:to>
    <xdr:grpSp>
      <xdr:nvGrpSpPr>
        <xdr:cNvPr id="1" name="1 Grupo"/>
        <xdr:cNvGrpSpPr>
          <a:grpSpLocks/>
        </xdr:cNvGrpSpPr>
      </xdr:nvGrpSpPr>
      <xdr:grpSpPr>
        <a:xfrm>
          <a:off x="38100" y="38100"/>
          <a:ext cx="2438400" cy="247650"/>
          <a:chOff x="95250" y="66675"/>
          <a:chExt cx="2438400" cy="247650"/>
        </a:xfrm>
        <a:solidFill>
          <a:srgbClr val="FFFFFF"/>
        </a:solidFill>
      </xdr:grpSpPr>
      <xdr:sp>
        <xdr:nvSpPr>
          <xdr:cNvPr id="2" name="2 Corchetes">
            <a:hlinkClick r:id="rId1"/>
          </xdr:cNvPr>
          <xdr:cNvSpPr>
            <a:spLocks/>
          </xdr:cNvSpPr>
        </xdr:nvSpPr>
        <xdr:spPr>
          <a:xfrm>
            <a:off x="95250" y="66675"/>
            <a:ext cx="704698"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Entrada</a:t>
            </a:r>
          </a:p>
        </xdr:txBody>
      </xdr:sp>
      <xdr:sp>
        <xdr:nvSpPr>
          <xdr:cNvPr id="3" name="3 Corchetes">
            <a:hlinkClick r:id="rId2"/>
          </xdr:cNvPr>
          <xdr:cNvSpPr>
            <a:spLocks/>
          </xdr:cNvSpPr>
        </xdr:nvSpPr>
        <xdr:spPr>
          <a:xfrm>
            <a:off x="838352" y="66675"/>
            <a:ext cx="876605"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Resultados</a:t>
            </a:r>
          </a:p>
        </xdr:txBody>
      </xdr:sp>
      <xdr:sp>
        <xdr:nvSpPr>
          <xdr:cNvPr id="4" name="4 Corchetes">
            <a:hlinkClick r:id="rId3"/>
          </xdr:cNvPr>
          <xdr:cNvSpPr>
            <a:spLocks/>
          </xdr:cNvSpPr>
        </xdr:nvSpPr>
        <xdr:spPr>
          <a:xfrm>
            <a:off x="1771650" y="66675"/>
            <a:ext cx="762000"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Formatos</a:t>
            </a:r>
          </a:p>
        </xdr:txBody>
      </xdr:sp>
    </xdr:grp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2</xdr:col>
      <xdr:colOff>85725</xdr:colOff>
      <xdr:row>0</xdr:row>
      <xdr:rowOff>285750</xdr:rowOff>
    </xdr:to>
    <xdr:grpSp>
      <xdr:nvGrpSpPr>
        <xdr:cNvPr id="1" name="1 Grupo"/>
        <xdr:cNvGrpSpPr>
          <a:grpSpLocks/>
        </xdr:cNvGrpSpPr>
      </xdr:nvGrpSpPr>
      <xdr:grpSpPr>
        <a:xfrm>
          <a:off x="47625" y="38100"/>
          <a:ext cx="2438400" cy="247650"/>
          <a:chOff x="95250" y="66675"/>
          <a:chExt cx="2438400" cy="247650"/>
        </a:xfrm>
        <a:solidFill>
          <a:srgbClr val="FFFFFF"/>
        </a:solidFill>
      </xdr:grpSpPr>
      <xdr:sp>
        <xdr:nvSpPr>
          <xdr:cNvPr id="2" name="2 Corchetes">
            <a:hlinkClick r:id="rId1"/>
          </xdr:cNvPr>
          <xdr:cNvSpPr>
            <a:spLocks/>
          </xdr:cNvSpPr>
        </xdr:nvSpPr>
        <xdr:spPr>
          <a:xfrm>
            <a:off x="95250" y="66675"/>
            <a:ext cx="704698"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Entrada</a:t>
            </a:r>
          </a:p>
        </xdr:txBody>
      </xdr:sp>
      <xdr:sp>
        <xdr:nvSpPr>
          <xdr:cNvPr id="3" name="3 Corchetes">
            <a:hlinkClick r:id="rId2"/>
          </xdr:cNvPr>
          <xdr:cNvSpPr>
            <a:spLocks/>
          </xdr:cNvSpPr>
        </xdr:nvSpPr>
        <xdr:spPr>
          <a:xfrm>
            <a:off x="838352" y="66675"/>
            <a:ext cx="876605"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Resultados</a:t>
            </a:r>
          </a:p>
        </xdr:txBody>
      </xdr:sp>
      <xdr:sp>
        <xdr:nvSpPr>
          <xdr:cNvPr id="4" name="4 Corchetes">
            <a:hlinkClick r:id="rId3"/>
          </xdr:cNvPr>
          <xdr:cNvSpPr>
            <a:spLocks/>
          </xdr:cNvSpPr>
        </xdr:nvSpPr>
        <xdr:spPr>
          <a:xfrm>
            <a:off x="1771650" y="66675"/>
            <a:ext cx="762000"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Formatos</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38100</xdr:rowOff>
    </xdr:from>
    <xdr:to>
      <xdr:col>1</xdr:col>
      <xdr:colOff>733425</xdr:colOff>
      <xdr:row>1</xdr:row>
      <xdr:rowOff>95250</xdr:rowOff>
    </xdr:to>
    <xdr:sp>
      <xdr:nvSpPr>
        <xdr:cNvPr id="1" name="2 Corchetes">
          <a:hlinkClick r:id="rId1"/>
        </xdr:cNvPr>
        <xdr:cNvSpPr>
          <a:spLocks/>
        </xdr:cNvSpPr>
      </xdr:nvSpPr>
      <xdr:spPr>
        <a:xfrm>
          <a:off x="95250" y="38100"/>
          <a:ext cx="704850"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Entrada</a:t>
          </a:r>
        </a:p>
      </xdr:txBody>
    </xdr:sp>
    <xdr:clientData/>
  </xdr:twoCellAnchor>
  <xdr:twoCellAnchor>
    <xdr:from>
      <xdr:col>1</xdr:col>
      <xdr:colOff>800100</xdr:colOff>
      <xdr:row>0</xdr:row>
      <xdr:rowOff>38100</xdr:rowOff>
    </xdr:from>
    <xdr:to>
      <xdr:col>1</xdr:col>
      <xdr:colOff>1562100</xdr:colOff>
      <xdr:row>1</xdr:row>
      <xdr:rowOff>95250</xdr:rowOff>
    </xdr:to>
    <xdr:sp>
      <xdr:nvSpPr>
        <xdr:cNvPr id="2" name="4 Corchetes">
          <a:hlinkClick r:id="rId2"/>
        </xdr:cNvPr>
        <xdr:cNvSpPr>
          <a:spLocks/>
        </xdr:cNvSpPr>
      </xdr:nvSpPr>
      <xdr:spPr>
        <a:xfrm>
          <a:off x="866775" y="38100"/>
          <a:ext cx="762000"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Formatos</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1</xdr:col>
      <xdr:colOff>2076450</xdr:colOff>
      <xdr:row>0</xdr:row>
      <xdr:rowOff>285750</xdr:rowOff>
    </xdr:to>
    <xdr:grpSp>
      <xdr:nvGrpSpPr>
        <xdr:cNvPr id="1" name="1 Grupo"/>
        <xdr:cNvGrpSpPr>
          <a:grpSpLocks/>
        </xdr:cNvGrpSpPr>
      </xdr:nvGrpSpPr>
      <xdr:grpSpPr>
        <a:xfrm>
          <a:off x="47625" y="38100"/>
          <a:ext cx="2438400" cy="247650"/>
          <a:chOff x="95250" y="66675"/>
          <a:chExt cx="2438400" cy="247650"/>
        </a:xfrm>
        <a:solidFill>
          <a:srgbClr val="FFFFFF"/>
        </a:solidFill>
      </xdr:grpSpPr>
      <xdr:sp>
        <xdr:nvSpPr>
          <xdr:cNvPr id="2" name="2 Corchetes">
            <a:hlinkClick r:id="rId1"/>
          </xdr:cNvPr>
          <xdr:cNvSpPr>
            <a:spLocks/>
          </xdr:cNvSpPr>
        </xdr:nvSpPr>
        <xdr:spPr>
          <a:xfrm>
            <a:off x="95250" y="66675"/>
            <a:ext cx="704698"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Entrada</a:t>
            </a:r>
          </a:p>
        </xdr:txBody>
      </xdr:sp>
      <xdr:sp>
        <xdr:nvSpPr>
          <xdr:cNvPr id="3" name="3 Corchetes">
            <a:hlinkClick r:id="rId2"/>
          </xdr:cNvPr>
          <xdr:cNvSpPr>
            <a:spLocks/>
          </xdr:cNvSpPr>
        </xdr:nvSpPr>
        <xdr:spPr>
          <a:xfrm>
            <a:off x="838352" y="66675"/>
            <a:ext cx="876605"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Resultados</a:t>
            </a:r>
          </a:p>
        </xdr:txBody>
      </xdr:sp>
      <xdr:sp>
        <xdr:nvSpPr>
          <xdr:cNvPr id="4" name="4 Corchetes">
            <a:hlinkClick r:id="rId3"/>
          </xdr:cNvPr>
          <xdr:cNvSpPr>
            <a:spLocks/>
          </xdr:cNvSpPr>
        </xdr:nvSpPr>
        <xdr:spPr>
          <a:xfrm>
            <a:off x="1771650" y="66675"/>
            <a:ext cx="762000"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Formatos</a:t>
            </a:r>
          </a:p>
        </xdr:txBody>
      </xdr:sp>
    </xdr:grp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38100</xdr:rowOff>
    </xdr:from>
    <xdr:to>
      <xdr:col>2</xdr:col>
      <xdr:colOff>66675</xdr:colOff>
      <xdr:row>1</xdr:row>
      <xdr:rowOff>95250</xdr:rowOff>
    </xdr:to>
    <xdr:grpSp>
      <xdr:nvGrpSpPr>
        <xdr:cNvPr id="1" name="1 Grupo"/>
        <xdr:cNvGrpSpPr>
          <a:grpSpLocks/>
        </xdr:cNvGrpSpPr>
      </xdr:nvGrpSpPr>
      <xdr:grpSpPr>
        <a:xfrm>
          <a:off x="95250" y="38100"/>
          <a:ext cx="2438400" cy="247650"/>
          <a:chOff x="95250" y="66675"/>
          <a:chExt cx="2438400" cy="247650"/>
        </a:xfrm>
        <a:solidFill>
          <a:srgbClr val="FFFFFF"/>
        </a:solidFill>
      </xdr:grpSpPr>
      <xdr:sp>
        <xdr:nvSpPr>
          <xdr:cNvPr id="2" name="2 Corchetes">
            <a:hlinkClick r:id="rId1"/>
          </xdr:cNvPr>
          <xdr:cNvSpPr>
            <a:spLocks/>
          </xdr:cNvSpPr>
        </xdr:nvSpPr>
        <xdr:spPr>
          <a:xfrm>
            <a:off x="95250" y="66675"/>
            <a:ext cx="704698"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Entrada</a:t>
            </a:r>
          </a:p>
        </xdr:txBody>
      </xdr:sp>
      <xdr:sp>
        <xdr:nvSpPr>
          <xdr:cNvPr id="3" name="3 Corchetes">
            <a:hlinkClick r:id="rId2"/>
          </xdr:cNvPr>
          <xdr:cNvSpPr>
            <a:spLocks/>
          </xdr:cNvSpPr>
        </xdr:nvSpPr>
        <xdr:spPr>
          <a:xfrm>
            <a:off x="838352" y="66675"/>
            <a:ext cx="876605"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Resultados</a:t>
            </a:r>
          </a:p>
        </xdr:txBody>
      </xdr:sp>
      <xdr:sp>
        <xdr:nvSpPr>
          <xdr:cNvPr id="4" name="4 Corchetes">
            <a:hlinkClick r:id="rId3"/>
          </xdr:cNvPr>
          <xdr:cNvSpPr>
            <a:spLocks/>
          </xdr:cNvSpPr>
        </xdr:nvSpPr>
        <xdr:spPr>
          <a:xfrm>
            <a:off x="1771650" y="66675"/>
            <a:ext cx="762000"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Formatos</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171450</xdr:colOff>
      <xdr:row>2</xdr:row>
      <xdr:rowOff>57150</xdr:rowOff>
    </xdr:to>
    <xdr:sp>
      <xdr:nvSpPr>
        <xdr:cNvPr id="1" name="2 Corchetes">
          <a:hlinkClick r:id="rId1"/>
        </xdr:cNvPr>
        <xdr:cNvSpPr>
          <a:spLocks/>
        </xdr:cNvSpPr>
      </xdr:nvSpPr>
      <xdr:spPr>
        <a:xfrm>
          <a:off x="762000" y="190500"/>
          <a:ext cx="704850"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Entrada</a:t>
          </a:r>
        </a:p>
      </xdr:txBody>
    </xdr:sp>
    <xdr:clientData/>
  </xdr:twoCellAnchor>
  <xdr:twoCellAnchor>
    <xdr:from>
      <xdr:col>2</xdr:col>
      <xdr:colOff>209550</xdr:colOff>
      <xdr:row>1</xdr:row>
      <xdr:rowOff>0</xdr:rowOff>
    </xdr:from>
    <xdr:to>
      <xdr:col>2</xdr:col>
      <xdr:colOff>1085850</xdr:colOff>
      <xdr:row>2</xdr:row>
      <xdr:rowOff>57150</xdr:rowOff>
    </xdr:to>
    <xdr:sp>
      <xdr:nvSpPr>
        <xdr:cNvPr id="2" name="3 Corchetes">
          <a:hlinkClick r:id="rId2"/>
        </xdr:cNvPr>
        <xdr:cNvSpPr>
          <a:spLocks/>
        </xdr:cNvSpPr>
      </xdr:nvSpPr>
      <xdr:spPr>
        <a:xfrm>
          <a:off x="1504950" y="190500"/>
          <a:ext cx="876300"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Resultados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38100</xdr:rowOff>
    </xdr:from>
    <xdr:to>
      <xdr:col>2</xdr:col>
      <xdr:colOff>333375</xdr:colOff>
      <xdr:row>0</xdr:row>
      <xdr:rowOff>285750</xdr:rowOff>
    </xdr:to>
    <xdr:sp>
      <xdr:nvSpPr>
        <xdr:cNvPr id="1" name="7 Corchetes">
          <a:hlinkClick r:id="rId1"/>
        </xdr:cNvPr>
        <xdr:cNvSpPr>
          <a:spLocks/>
        </xdr:cNvSpPr>
      </xdr:nvSpPr>
      <xdr:spPr>
        <a:xfrm>
          <a:off x="152400" y="38100"/>
          <a:ext cx="704850"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Entrada</a:t>
          </a:r>
        </a:p>
      </xdr:txBody>
    </xdr:sp>
    <xdr:clientData/>
  </xdr:twoCellAnchor>
  <xdr:twoCellAnchor>
    <xdr:from>
      <xdr:col>2</xdr:col>
      <xdr:colOff>371475</xdr:colOff>
      <xdr:row>0</xdr:row>
      <xdr:rowOff>38100</xdr:rowOff>
    </xdr:from>
    <xdr:to>
      <xdr:col>2</xdr:col>
      <xdr:colOff>1247775</xdr:colOff>
      <xdr:row>0</xdr:row>
      <xdr:rowOff>285750</xdr:rowOff>
    </xdr:to>
    <xdr:sp>
      <xdr:nvSpPr>
        <xdr:cNvPr id="2" name="8 Corchetes">
          <a:hlinkClick r:id="rId2"/>
        </xdr:cNvPr>
        <xdr:cNvSpPr>
          <a:spLocks/>
        </xdr:cNvSpPr>
      </xdr:nvSpPr>
      <xdr:spPr>
        <a:xfrm>
          <a:off x="895350" y="38100"/>
          <a:ext cx="876300"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Resultados</a:t>
          </a:r>
        </a:p>
      </xdr:txBody>
    </xdr:sp>
    <xdr:clientData/>
  </xdr:twoCellAnchor>
  <xdr:twoCellAnchor>
    <xdr:from>
      <xdr:col>2</xdr:col>
      <xdr:colOff>1295400</xdr:colOff>
      <xdr:row>0</xdr:row>
      <xdr:rowOff>38100</xdr:rowOff>
    </xdr:from>
    <xdr:to>
      <xdr:col>4</xdr:col>
      <xdr:colOff>180975</xdr:colOff>
      <xdr:row>0</xdr:row>
      <xdr:rowOff>257175</xdr:rowOff>
    </xdr:to>
    <xdr:sp>
      <xdr:nvSpPr>
        <xdr:cNvPr id="3" name="9 Corchetes">
          <a:hlinkClick r:id="rId3"/>
        </xdr:cNvPr>
        <xdr:cNvSpPr>
          <a:spLocks/>
        </xdr:cNvSpPr>
      </xdr:nvSpPr>
      <xdr:spPr>
        <a:xfrm>
          <a:off x="1819275" y="38100"/>
          <a:ext cx="723900" cy="219075"/>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Formatos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2533650</xdr:colOff>
      <xdr:row>0</xdr:row>
      <xdr:rowOff>314325</xdr:rowOff>
    </xdr:to>
    <xdr:grpSp>
      <xdr:nvGrpSpPr>
        <xdr:cNvPr id="1" name="5 Grupo"/>
        <xdr:cNvGrpSpPr>
          <a:grpSpLocks/>
        </xdr:cNvGrpSpPr>
      </xdr:nvGrpSpPr>
      <xdr:grpSpPr>
        <a:xfrm>
          <a:off x="95250" y="66675"/>
          <a:ext cx="2438400" cy="247650"/>
          <a:chOff x="95250" y="66675"/>
          <a:chExt cx="2438400" cy="247650"/>
        </a:xfrm>
        <a:solidFill>
          <a:srgbClr val="FFFFFF"/>
        </a:solidFill>
      </xdr:grpSpPr>
      <xdr:sp>
        <xdr:nvSpPr>
          <xdr:cNvPr id="2" name="2 Corchetes">
            <a:hlinkClick r:id="rId1"/>
          </xdr:cNvPr>
          <xdr:cNvSpPr>
            <a:spLocks/>
          </xdr:cNvSpPr>
        </xdr:nvSpPr>
        <xdr:spPr>
          <a:xfrm>
            <a:off x="95250" y="66675"/>
            <a:ext cx="704698"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Entrada</a:t>
            </a:r>
          </a:p>
        </xdr:txBody>
      </xdr:sp>
      <xdr:sp>
        <xdr:nvSpPr>
          <xdr:cNvPr id="3" name="3 Corchetes">
            <a:hlinkClick r:id="rId2"/>
          </xdr:cNvPr>
          <xdr:cNvSpPr>
            <a:spLocks/>
          </xdr:cNvSpPr>
        </xdr:nvSpPr>
        <xdr:spPr>
          <a:xfrm>
            <a:off x="838352" y="66675"/>
            <a:ext cx="876605"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Resultados</a:t>
            </a:r>
          </a:p>
        </xdr:txBody>
      </xdr:sp>
      <xdr:sp>
        <xdr:nvSpPr>
          <xdr:cNvPr id="4" name="4 Corchetes">
            <a:hlinkClick r:id="rId3"/>
          </xdr:cNvPr>
          <xdr:cNvSpPr>
            <a:spLocks/>
          </xdr:cNvSpPr>
        </xdr:nvSpPr>
        <xdr:spPr>
          <a:xfrm>
            <a:off x="1771650" y="66675"/>
            <a:ext cx="762000"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Formatos</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47625</xdr:rowOff>
    </xdr:from>
    <xdr:to>
      <xdr:col>0</xdr:col>
      <xdr:colOff>2524125</xdr:colOff>
      <xdr:row>0</xdr:row>
      <xdr:rowOff>295275</xdr:rowOff>
    </xdr:to>
    <xdr:grpSp>
      <xdr:nvGrpSpPr>
        <xdr:cNvPr id="1" name="1 Grupo"/>
        <xdr:cNvGrpSpPr>
          <a:grpSpLocks/>
        </xdr:cNvGrpSpPr>
      </xdr:nvGrpSpPr>
      <xdr:grpSpPr>
        <a:xfrm>
          <a:off x="85725" y="47625"/>
          <a:ext cx="2438400" cy="247650"/>
          <a:chOff x="95250" y="66675"/>
          <a:chExt cx="2438400" cy="247650"/>
        </a:xfrm>
        <a:solidFill>
          <a:srgbClr val="FFFFFF"/>
        </a:solidFill>
      </xdr:grpSpPr>
      <xdr:sp>
        <xdr:nvSpPr>
          <xdr:cNvPr id="2" name="2 Corchetes">
            <a:hlinkClick r:id="rId1"/>
          </xdr:cNvPr>
          <xdr:cNvSpPr>
            <a:spLocks/>
          </xdr:cNvSpPr>
        </xdr:nvSpPr>
        <xdr:spPr>
          <a:xfrm>
            <a:off x="95250" y="66675"/>
            <a:ext cx="704698"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Entrada</a:t>
            </a:r>
          </a:p>
        </xdr:txBody>
      </xdr:sp>
      <xdr:sp>
        <xdr:nvSpPr>
          <xdr:cNvPr id="3" name="3 Corchetes">
            <a:hlinkClick r:id="rId2"/>
          </xdr:cNvPr>
          <xdr:cNvSpPr>
            <a:spLocks/>
          </xdr:cNvSpPr>
        </xdr:nvSpPr>
        <xdr:spPr>
          <a:xfrm>
            <a:off x="838352" y="66675"/>
            <a:ext cx="876605"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Resultados</a:t>
            </a:r>
          </a:p>
        </xdr:txBody>
      </xdr:sp>
      <xdr:sp>
        <xdr:nvSpPr>
          <xdr:cNvPr id="4" name="4 Corchetes">
            <a:hlinkClick r:id="rId3"/>
          </xdr:cNvPr>
          <xdr:cNvSpPr>
            <a:spLocks/>
          </xdr:cNvSpPr>
        </xdr:nvSpPr>
        <xdr:spPr>
          <a:xfrm>
            <a:off x="1771650" y="66675"/>
            <a:ext cx="762000"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Formatos</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47625</xdr:rowOff>
    </xdr:from>
    <xdr:to>
      <xdr:col>0</xdr:col>
      <xdr:colOff>2524125</xdr:colOff>
      <xdr:row>0</xdr:row>
      <xdr:rowOff>295275</xdr:rowOff>
    </xdr:to>
    <xdr:grpSp>
      <xdr:nvGrpSpPr>
        <xdr:cNvPr id="1" name="1 Grupo"/>
        <xdr:cNvGrpSpPr>
          <a:grpSpLocks/>
        </xdr:cNvGrpSpPr>
      </xdr:nvGrpSpPr>
      <xdr:grpSpPr>
        <a:xfrm>
          <a:off x="85725" y="47625"/>
          <a:ext cx="2438400" cy="247650"/>
          <a:chOff x="95250" y="66675"/>
          <a:chExt cx="2438400" cy="247650"/>
        </a:xfrm>
        <a:solidFill>
          <a:srgbClr val="FFFFFF"/>
        </a:solidFill>
      </xdr:grpSpPr>
      <xdr:sp>
        <xdr:nvSpPr>
          <xdr:cNvPr id="2" name="2 Corchetes">
            <a:hlinkClick r:id="rId1"/>
          </xdr:cNvPr>
          <xdr:cNvSpPr>
            <a:spLocks/>
          </xdr:cNvSpPr>
        </xdr:nvSpPr>
        <xdr:spPr>
          <a:xfrm>
            <a:off x="95250" y="66675"/>
            <a:ext cx="704698"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Entrada</a:t>
            </a:r>
          </a:p>
        </xdr:txBody>
      </xdr:sp>
      <xdr:sp>
        <xdr:nvSpPr>
          <xdr:cNvPr id="3" name="3 Corchetes">
            <a:hlinkClick r:id="rId2"/>
          </xdr:cNvPr>
          <xdr:cNvSpPr>
            <a:spLocks/>
          </xdr:cNvSpPr>
        </xdr:nvSpPr>
        <xdr:spPr>
          <a:xfrm>
            <a:off x="838352" y="66675"/>
            <a:ext cx="876605"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Resultados</a:t>
            </a:r>
          </a:p>
        </xdr:txBody>
      </xdr:sp>
      <xdr:sp>
        <xdr:nvSpPr>
          <xdr:cNvPr id="4" name="4 Corchetes">
            <a:hlinkClick r:id="rId3"/>
          </xdr:cNvPr>
          <xdr:cNvSpPr>
            <a:spLocks/>
          </xdr:cNvSpPr>
        </xdr:nvSpPr>
        <xdr:spPr>
          <a:xfrm>
            <a:off x="1771650" y="66675"/>
            <a:ext cx="762000"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Formatos</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2</xdr:col>
      <xdr:colOff>457200</xdr:colOff>
      <xdr:row>0</xdr:row>
      <xdr:rowOff>295275</xdr:rowOff>
    </xdr:to>
    <xdr:grpSp>
      <xdr:nvGrpSpPr>
        <xdr:cNvPr id="1" name="1 Grupo"/>
        <xdr:cNvGrpSpPr>
          <a:grpSpLocks/>
        </xdr:cNvGrpSpPr>
      </xdr:nvGrpSpPr>
      <xdr:grpSpPr>
        <a:xfrm>
          <a:off x="57150" y="47625"/>
          <a:ext cx="2571750" cy="247650"/>
          <a:chOff x="95250" y="66675"/>
          <a:chExt cx="2438400" cy="247650"/>
        </a:xfrm>
        <a:solidFill>
          <a:srgbClr val="FFFFFF"/>
        </a:solidFill>
      </xdr:grpSpPr>
      <xdr:sp>
        <xdr:nvSpPr>
          <xdr:cNvPr id="2" name="2 Corchetes">
            <a:hlinkClick r:id="rId1"/>
          </xdr:cNvPr>
          <xdr:cNvSpPr>
            <a:spLocks/>
          </xdr:cNvSpPr>
        </xdr:nvSpPr>
        <xdr:spPr>
          <a:xfrm>
            <a:off x="95250" y="66675"/>
            <a:ext cx="704698"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Entrada</a:t>
            </a:r>
          </a:p>
        </xdr:txBody>
      </xdr:sp>
      <xdr:sp>
        <xdr:nvSpPr>
          <xdr:cNvPr id="3" name="3 Corchetes">
            <a:hlinkClick r:id="rId2"/>
          </xdr:cNvPr>
          <xdr:cNvSpPr>
            <a:spLocks/>
          </xdr:cNvSpPr>
        </xdr:nvSpPr>
        <xdr:spPr>
          <a:xfrm>
            <a:off x="835914" y="66675"/>
            <a:ext cx="875995"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Resultados</a:t>
            </a:r>
          </a:p>
        </xdr:txBody>
      </xdr:sp>
      <xdr:sp>
        <xdr:nvSpPr>
          <xdr:cNvPr id="4" name="4 Corchetes">
            <a:hlinkClick r:id="rId3"/>
          </xdr:cNvPr>
          <xdr:cNvSpPr>
            <a:spLocks/>
          </xdr:cNvSpPr>
        </xdr:nvSpPr>
        <xdr:spPr>
          <a:xfrm>
            <a:off x="1775308" y="66675"/>
            <a:ext cx="758342"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Formatos</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2</xdr:col>
      <xdr:colOff>438150</xdr:colOff>
      <xdr:row>0</xdr:row>
      <xdr:rowOff>295275</xdr:rowOff>
    </xdr:to>
    <xdr:grpSp>
      <xdr:nvGrpSpPr>
        <xdr:cNvPr id="1" name="1 Grupo"/>
        <xdr:cNvGrpSpPr>
          <a:grpSpLocks/>
        </xdr:cNvGrpSpPr>
      </xdr:nvGrpSpPr>
      <xdr:grpSpPr>
        <a:xfrm>
          <a:off x="38100" y="47625"/>
          <a:ext cx="2533650" cy="247650"/>
          <a:chOff x="95250" y="66675"/>
          <a:chExt cx="2438400" cy="247650"/>
        </a:xfrm>
        <a:solidFill>
          <a:srgbClr val="FFFFFF"/>
        </a:solidFill>
      </xdr:grpSpPr>
      <xdr:sp>
        <xdr:nvSpPr>
          <xdr:cNvPr id="2" name="2 Corchetes">
            <a:hlinkClick r:id="rId1"/>
          </xdr:cNvPr>
          <xdr:cNvSpPr>
            <a:spLocks/>
          </xdr:cNvSpPr>
        </xdr:nvSpPr>
        <xdr:spPr>
          <a:xfrm>
            <a:off x="95250" y="66675"/>
            <a:ext cx="705917"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Entrada</a:t>
            </a:r>
          </a:p>
        </xdr:txBody>
      </xdr:sp>
      <xdr:sp>
        <xdr:nvSpPr>
          <xdr:cNvPr id="3" name="3 Corchetes">
            <a:hlinkClick r:id="rId2"/>
          </xdr:cNvPr>
          <xdr:cNvSpPr>
            <a:spLocks/>
          </xdr:cNvSpPr>
        </xdr:nvSpPr>
        <xdr:spPr>
          <a:xfrm>
            <a:off x="837743" y="66675"/>
            <a:ext cx="880262"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Resultados</a:t>
            </a:r>
          </a:p>
        </xdr:txBody>
      </xdr:sp>
      <xdr:sp>
        <xdr:nvSpPr>
          <xdr:cNvPr id="4" name="4 Corchetes">
            <a:hlinkClick r:id="rId3"/>
          </xdr:cNvPr>
          <xdr:cNvSpPr>
            <a:spLocks/>
          </xdr:cNvSpPr>
        </xdr:nvSpPr>
        <xdr:spPr>
          <a:xfrm>
            <a:off x="1772869" y="66675"/>
            <a:ext cx="760781"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Formatos</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riconsa\data\PROYECTO\ENPROCES\DEP-PROY.02\AIJA.PSE\CONCURSO\DATOS.MEM\AIJA-I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INUXFS\pproceso\SISTEMA%20DE%20MODULOS\BASE%20DE%20DATOS\TIPO%20DE%20CAMBI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OMEGA_CJ\CAJAMARCA_99\AGOSTO_1999\LAMBDA_LL\LA_LIBERTAD_99\JUNIO_1999\Flujo%20Energia%2099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INUXFS\pproceso\gart\CTGAR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OBERTO-MEF\Downloads\Disttriluz\GRUPO-I\SER%20RODRIGUEZ%20DE%20MENDOZA%20III%20ETAPA\V1.%20Prefactibilidad\_SNIP-%20Alt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Jb\d\BILLY\PSE%20PUERTO%20INCA%20I%20ETAPA\3&#176;%20INFORME\polinimic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LINUXSERVER\proyecto\gart\CTGART.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Maq14\c\C\MEM\DEP\RP_JIMBE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yecciones"/>
      <sheetName val="EVAL"/>
      <sheetName val="social"/>
      <sheetName val="RESUMEN RO"/>
      <sheetName val="ANALISIS VENTAS"/>
      <sheetName val="2 TUCARI"/>
      <sheetName val="8  VOTORANTIN 501"/>
      <sheetName val="CALENDARIO"/>
      <sheetName val="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po de Cambio"/>
      <sheetName val="datos"/>
      <sheetName val="#¡REF"/>
      <sheetName val="FORMA- RE1"/>
      <sheetName val="FORMA-SE2"/>
      <sheetName val="FORMA-ST1"/>
      <sheetName val="FORMA-LM3"/>
      <sheetName val="FORMA-LM1"/>
      <sheetName val="FORMA-LS1-LS2"/>
      <sheetName val="FORMA-LS3"/>
      <sheetName val="FORMA-(SE1)"/>
      <sheetName val="SE_Chavarria"/>
      <sheetName val="SE_Chiclayo_Oeste"/>
      <sheetName val="SE_Chimbote1"/>
      <sheetName val="SE_Ica"/>
      <sheetName val="SE_Independencia"/>
      <sheetName val="SE_Paramonga_Nueva"/>
      <sheetName val="SE_Piura_Oeste"/>
      <sheetName val="SE_San_Juan"/>
      <sheetName val="SE_Santa_Rosa"/>
      <sheetName val="SE_Trujillo_Norte"/>
      <sheetName val="FORMA-RL1"/>
      <sheetName val="C.A.P. 10.2000"/>
      <sheetName val="auxiliar"/>
      <sheetName val="Precio Barra Eq. MT"/>
      <sheetName val="Tarifa Barra"/>
      <sheetName val="Pliegos"/>
      <sheetName val="Cuadro B-1"/>
      <sheetName val="Hoja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sults"/>
      <sheetName val="jun"/>
      <sheetName val="FlujoTJ"/>
      <sheetName val="Flujo LLNO"/>
      <sheetName val="Reseteos"/>
      <sheetName val="T2"/>
      <sheetName val="Flujo_CJ"/>
      <sheetName val="RESUMEN RO"/>
      <sheetName val="ANALISIS RO MAYO"/>
      <sheetName val="2 TUCARI"/>
      <sheetName val="8  VOTORANTIN 50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AP-95mm2 "/>
      <sheetName val="CAP-120mm2"/>
      <sheetName val="pheasan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versiones"/>
      <sheetName val="Datos de Entrada"/>
      <sheetName val="F-01"/>
      <sheetName val="F-02"/>
      <sheetName val="F-03"/>
      <sheetName val="F-04"/>
      <sheetName val="F-05 PRIVADOS"/>
      <sheetName val="F-05 SOCIALES"/>
      <sheetName val="F-06 PRIVADOS"/>
      <sheetName val="F-06 SOCIALES"/>
      <sheetName val="F-07-08-09"/>
      <sheetName val="F-10"/>
      <sheetName val="Anualización de la Inversión"/>
      <sheetName val="Analisis de Costos"/>
      <sheetName val="Anualización de la Depreciació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olinomica"/>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P_120mm2"/>
      <sheetName val="CAP-95mm2 "/>
      <sheetName val="CAP-120mm2"/>
      <sheetName val="pheasant"/>
      <sheetName val="MALLA DE TIERRA"/>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LINEAS"/>
      <sheetName val="PRESUPUESTO"/>
      <sheetName val="Hoja1"/>
      <sheetName val="Hoja2"/>
      <sheetName val="Hoja3"/>
      <sheetName val="DATOS"/>
      <sheetName val="Hoja4"/>
      <sheetName val="FORMULA"/>
      <sheetName val="CALENDARIO"/>
      <sheetName val="REV3"/>
      <sheetName val="CAP-120mm2"/>
    </sheetNames>
    <sheetDataSet>
      <sheetData sheetId="1">
        <row r="287">
          <cell r="A287" t="str">
            <v>PT_03</v>
          </cell>
          <cell r="C287" t="str">
            <v>SI</v>
          </cell>
          <cell r="D287" t="str">
            <v>4.01</v>
          </cell>
          <cell r="F287" t="str">
            <v>Conector de Cu tipo perno partido </v>
          </cell>
          <cell r="I287" t="str">
            <v>U</v>
          </cell>
          <cell r="J287">
            <v>12</v>
          </cell>
          <cell r="K287">
            <v>2.49</v>
          </cell>
          <cell r="L287">
            <v>29.88</v>
          </cell>
          <cell r="O287">
            <v>0</v>
          </cell>
        </row>
        <row r="292">
          <cell r="D292" t="str">
            <v>5.00</v>
          </cell>
          <cell r="F292" t="str">
            <v>EQUIPOS DE PROTECCION Y SECCIONAMIENTO</v>
          </cell>
          <cell r="O292">
            <v>0</v>
          </cell>
        </row>
        <row r="293">
          <cell r="A293" t="str">
            <v>PROT_02</v>
          </cell>
          <cell r="C293" t="str">
            <v>SI</v>
          </cell>
          <cell r="D293" t="str">
            <v>5.01</v>
          </cell>
          <cell r="F293" t="str">
            <v>Seccionador fusible unipolar Cut-out 36 kV, 100 A, 150kV BIL</v>
          </cell>
          <cell r="I293" t="str">
            <v>U</v>
          </cell>
          <cell r="J293">
            <v>11</v>
          </cell>
          <cell r="K293">
            <v>226.24</v>
          </cell>
          <cell r="L293">
            <v>2488.64</v>
          </cell>
          <cell r="O293">
            <v>0</v>
          </cell>
        </row>
        <row r="294">
          <cell r="F294" t="str">
            <v>SUB TOTAL</v>
          </cell>
          <cell r="M294">
            <v>2488.64</v>
          </cell>
          <cell r="O29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2"/>
  <dimension ref="A1:N185"/>
  <sheetViews>
    <sheetView showGridLines="0" showZeros="0" tabSelected="1" defaultGridColor="0" zoomScalePageLayoutView="0" colorId="17" workbookViewId="0" topLeftCell="A1">
      <pane ySplit="2" topLeftCell="A3" activePane="bottomLeft" state="frozen"/>
      <selection pane="topLeft" activeCell="O50" sqref="O50"/>
      <selection pane="bottomLeft" activeCell="A1" sqref="A1"/>
    </sheetView>
  </sheetViews>
  <sheetFormatPr defaultColWidth="11.421875" defaultRowHeight="15"/>
  <cols>
    <col min="1" max="1" width="7.7109375" style="234" customWidth="1"/>
    <col min="2" max="2" width="14.00390625" style="234" customWidth="1"/>
    <col min="3" max="3" width="16.57421875" style="234" customWidth="1"/>
    <col min="4" max="4" width="15.57421875" style="234" customWidth="1"/>
    <col min="5" max="5" width="30.00390625" style="234" customWidth="1"/>
    <col min="6" max="6" width="2.140625" style="234" customWidth="1"/>
    <col min="7" max="7" width="8.140625" style="234" customWidth="1"/>
    <col min="8" max="8" width="18.00390625" style="234" customWidth="1"/>
    <col min="9" max="9" width="13.421875" style="234" customWidth="1"/>
    <col min="10" max="10" width="11.00390625" style="234" customWidth="1"/>
    <col min="11" max="11" width="31.00390625" style="234" customWidth="1"/>
    <col min="12" max="15" width="11.421875" style="234" customWidth="1"/>
    <col min="16" max="16" width="17.28125" style="234" customWidth="1"/>
    <col min="17" max="16384" width="11.421875" style="234" customWidth="1"/>
  </cols>
  <sheetData>
    <row r="1" spans="5:11" ht="21.75" customHeight="1">
      <c r="E1" s="278"/>
      <c r="I1" s="811"/>
      <c r="J1" s="811"/>
      <c r="K1" s="811"/>
    </row>
    <row r="2" spans="1:3" ht="33" customHeight="1" thickBot="1">
      <c r="A2" s="278" t="s">
        <v>212</v>
      </c>
      <c r="B2" s="278"/>
      <c r="C2" s="278"/>
    </row>
    <row r="3" spans="1:13" s="227" customFormat="1" ht="15">
      <c r="A3" s="812" t="s">
        <v>211</v>
      </c>
      <c r="B3" s="813"/>
      <c r="C3" s="813"/>
      <c r="D3" s="813"/>
      <c r="E3" s="813"/>
      <c r="F3" s="813"/>
      <c r="G3" s="813"/>
      <c r="H3" s="813"/>
      <c r="I3" s="813"/>
      <c r="J3" s="813"/>
      <c r="K3" s="814"/>
      <c r="L3" s="24"/>
      <c r="M3" s="24"/>
    </row>
    <row r="4" spans="1:11" s="227" customFormat="1" ht="12.75">
      <c r="A4" s="183" t="s">
        <v>102</v>
      </c>
      <c r="B4" s="168"/>
      <c r="C4" s="383"/>
      <c r="D4" s="174" t="s">
        <v>103</v>
      </c>
      <c r="E4" s="175" t="s">
        <v>66</v>
      </c>
      <c r="F4" s="170"/>
      <c r="G4" s="167" t="s">
        <v>102</v>
      </c>
      <c r="H4" s="168"/>
      <c r="I4" s="383"/>
      <c r="J4" s="174" t="s">
        <v>103</v>
      </c>
      <c r="K4" s="184" t="s">
        <v>66</v>
      </c>
    </row>
    <row r="5" spans="1:11" s="227" customFormat="1" ht="12.75">
      <c r="A5" s="185" t="s">
        <v>91</v>
      </c>
      <c r="B5" s="181"/>
      <c r="C5" s="181"/>
      <c r="D5" s="734">
        <v>2011</v>
      </c>
      <c r="E5" s="182"/>
      <c r="F5" s="170"/>
      <c r="G5" s="159" t="s">
        <v>187</v>
      </c>
      <c r="H5" s="169"/>
      <c r="I5" s="169"/>
      <c r="J5" s="732" t="s">
        <v>128</v>
      </c>
      <c r="K5" s="186" t="s">
        <v>375</v>
      </c>
    </row>
    <row r="6" spans="1:11" s="227" customFormat="1" ht="12.75">
      <c r="A6" s="187" t="s">
        <v>185</v>
      </c>
      <c r="B6" s="170"/>
      <c r="C6" s="170"/>
      <c r="D6" s="736">
        <v>2403</v>
      </c>
      <c r="E6" s="160" t="s">
        <v>67</v>
      </c>
      <c r="F6" s="170"/>
      <c r="G6" s="179" t="s">
        <v>38</v>
      </c>
      <c r="H6" s="180"/>
      <c r="I6" s="180"/>
      <c r="J6" s="733">
        <v>0.0116</v>
      </c>
      <c r="K6" s="188" t="s">
        <v>81</v>
      </c>
    </row>
    <row r="7" spans="1:11" s="227" customFormat="1" ht="12.75">
      <c r="A7" s="189" t="s">
        <v>190</v>
      </c>
      <c r="B7" s="169"/>
      <c r="C7" s="169"/>
      <c r="D7" s="736">
        <v>2403</v>
      </c>
      <c r="E7" s="166" t="s">
        <v>67</v>
      </c>
      <c r="F7" s="170"/>
      <c r="G7" s="279"/>
      <c r="H7" s="279"/>
      <c r="I7" s="279"/>
      <c r="J7" s="280"/>
      <c r="K7" s="281"/>
    </row>
    <row r="8" spans="1:11" s="227" customFormat="1" ht="12.75">
      <c r="A8" s="187"/>
      <c r="B8" s="170"/>
      <c r="C8" s="170"/>
      <c r="D8" s="170"/>
      <c r="E8" s="170"/>
      <c r="F8" s="170"/>
      <c r="G8" s="282" t="s">
        <v>76</v>
      </c>
      <c r="H8" s="181"/>
      <c r="I8" s="181"/>
      <c r="J8" s="181"/>
      <c r="K8" s="283"/>
    </row>
    <row r="9" spans="1:11" s="227" customFormat="1" ht="12.75">
      <c r="A9" s="284" t="s">
        <v>188</v>
      </c>
      <c r="B9" s="279"/>
      <c r="C9" s="279"/>
      <c r="D9" s="280"/>
      <c r="E9" s="285"/>
      <c r="F9" s="170"/>
      <c r="G9" s="162" t="s">
        <v>73</v>
      </c>
      <c r="H9" s="176"/>
      <c r="I9" s="176"/>
      <c r="J9" s="739"/>
      <c r="K9" s="190" t="s">
        <v>227</v>
      </c>
    </row>
    <row r="10" spans="1:11" s="227" customFormat="1" ht="12.75">
      <c r="A10" s="192" t="s">
        <v>69</v>
      </c>
      <c r="B10" s="171"/>
      <c r="C10" s="171"/>
      <c r="D10" s="737"/>
      <c r="E10" s="163" t="s">
        <v>67</v>
      </c>
      <c r="F10" s="170"/>
      <c r="G10" s="164" t="s">
        <v>74</v>
      </c>
      <c r="H10" s="177"/>
      <c r="I10" s="177"/>
      <c r="J10" s="740">
        <v>25</v>
      </c>
      <c r="K10" s="191" t="s">
        <v>227</v>
      </c>
    </row>
    <row r="11" spans="1:11" s="227" customFormat="1" ht="12.75">
      <c r="A11" s="193" t="s">
        <v>70</v>
      </c>
      <c r="B11" s="172"/>
      <c r="C11" s="172"/>
      <c r="D11" s="735">
        <v>537</v>
      </c>
      <c r="E11" s="160" t="s">
        <v>67</v>
      </c>
      <c r="F11" s="170"/>
      <c r="G11" s="164" t="s">
        <v>77</v>
      </c>
      <c r="H11" s="177"/>
      <c r="I11" s="177"/>
      <c r="J11" s="740"/>
      <c r="K11" s="191" t="s">
        <v>227</v>
      </c>
    </row>
    <row r="12" spans="1:11" s="227" customFormat="1" ht="12.75">
      <c r="A12" s="194" t="s">
        <v>71</v>
      </c>
      <c r="B12" s="173"/>
      <c r="C12" s="173"/>
      <c r="D12" s="735"/>
      <c r="E12" s="160" t="s">
        <v>67</v>
      </c>
      <c r="F12" s="170"/>
      <c r="G12" s="164" t="s">
        <v>78</v>
      </c>
      <c r="H12" s="177"/>
      <c r="I12" s="177"/>
      <c r="J12" s="740">
        <v>39.28</v>
      </c>
      <c r="K12" s="191" t="s">
        <v>227</v>
      </c>
    </row>
    <row r="13" spans="1:11" s="227" customFormat="1" ht="12.75">
      <c r="A13" s="194" t="s">
        <v>111</v>
      </c>
      <c r="B13" s="173"/>
      <c r="C13" s="173"/>
      <c r="D13" s="735">
        <v>9</v>
      </c>
      <c r="E13" s="160" t="s">
        <v>67</v>
      </c>
      <c r="F13" s="170"/>
      <c r="G13" s="165" t="s">
        <v>80</v>
      </c>
      <c r="H13" s="178"/>
      <c r="I13" s="178"/>
      <c r="J13" s="741"/>
      <c r="K13" s="195" t="s">
        <v>227</v>
      </c>
    </row>
    <row r="14" spans="1:11" s="227" customFormat="1" ht="13.5" thickBot="1">
      <c r="A14" s="196" t="s">
        <v>79</v>
      </c>
      <c r="B14" s="197"/>
      <c r="C14" s="197"/>
      <c r="D14" s="738">
        <v>0</v>
      </c>
      <c r="E14" s="198" t="s">
        <v>67</v>
      </c>
      <c r="F14" s="286"/>
      <c r="G14" s="199" t="s">
        <v>54</v>
      </c>
      <c r="H14" s="200"/>
      <c r="I14" s="200"/>
      <c r="J14" s="742">
        <v>0.0073</v>
      </c>
      <c r="K14" s="201" t="s">
        <v>227</v>
      </c>
    </row>
    <row r="15" s="227" customFormat="1" ht="12.75"/>
    <row r="16" spans="1:5" s="227" customFormat="1" ht="18.75">
      <c r="A16" s="287" t="s">
        <v>311</v>
      </c>
      <c r="D16" s="803" t="s">
        <v>452</v>
      </c>
      <c r="E16" s="804"/>
    </row>
    <row r="17" s="227" customFormat="1" ht="12.75"/>
    <row r="18" spans="1:7" s="227" customFormat="1" ht="18.75">
      <c r="A18" s="287" t="s">
        <v>309</v>
      </c>
      <c r="B18" s="288"/>
      <c r="G18" s="287" t="s">
        <v>310</v>
      </c>
    </row>
    <row r="19" s="227" customFormat="1" ht="13.5" thickBot="1"/>
    <row r="20" spans="1:11" s="227" customFormat="1" ht="12.75">
      <c r="A20" s="243" t="s">
        <v>288</v>
      </c>
      <c r="B20" s="244"/>
      <c r="C20" s="244"/>
      <c r="D20" s="245"/>
      <c r="E20" s="246"/>
      <c r="G20" s="243" t="s">
        <v>288</v>
      </c>
      <c r="H20" s="244"/>
      <c r="I20" s="244"/>
      <c r="J20" s="245"/>
      <c r="K20" s="246"/>
    </row>
    <row r="21" spans="1:11" s="227" customFormat="1" ht="12.75">
      <c r="A21" s="185" t="s">
        <v>286</v>
      </c>
      <c r="B21" s="289"/>
      <c r="C21" s="289"/>
      <c r="D21" s="290">
        <f>IF(D22="","",D121)</f>
        <v>268</v>
      </c>
      <c r="E21" s="283" t="s">
        <v>284</v>
      </c>
      <c r="G21" s="187" t="s">
        <v>408</v>
      </c>
      <c r="H21" s="170"/>
      <c r="I21" s="170"/>
      <c r="J21" s="765">
        <v>100</v>
      </c>
      <c r="K21" s="291" t="s">
        <v>284</v>
      </c>
    </row>
    <row r="22" spans="1:11" s="227" customFormat="1" ht="12.75">
      <c r="A22" s="247" t="s">
        <v>191</v>
      </c>
      <c r="B22" s="161"/>
      <c r="C22" s="202"/>
      <c r="D22" s="744">
        <v>0.09</v>
      </c>
      <c r="E22" s="190" t="s">
        <v>227</v>
      </c>
      <c r="G22" s="187" t="s">
        <v>407</v>
      </c>
      <c r="H22" s="204"/>
      <c r="I22" s="204"/>
      <c r="J22" s="713">
        <v>160</v>
      </c>
      <c r="K22" s="191" t="s">
        <v>284</v>
      </c>
    </row>
    <row r="23" spans="1:11" s="227" customFormat="1" ht="12.75">
      <c r="A23" s="248" t="s">
        <v>3</v>
      </c>
      <c r="B23" s="158"/>
      <c r="C23" s="203"/>
      <c r="D23" s="745">
        <v>0.22</v>
      </c>
      <c r="E23" s="191" t="s">
        <v>227</v>
      </c>
      <c r="G23" s="248" t="s">
        <v>321</v>
      </c>
      <c r="H23" s="204"/>
      <c r="I23" s="204"/>
      <c r="J23" s="907" t="s">
        <v>454</v>
      </c>
      <c r="K23" s="191" t="s">
        <v>284</v>
      </c>
    </row>
    <row r="24" spans="1:11" s="227" customFormat="1" ht="12.75">
      <c r="A24" s="248" t="s">
        <v>321</v>
      </c>
      <c r="B24" s="158"/>
      <c r="C24" s="203"/>
      <c r="D24" s="82" t="s">
        <v>285</v>
      </c>
      <c r="E24" s="191"/>
      <c r="G24" s="187" t="s">
        <v>409</v>
      </c>
      <c r="H24" s="170"/>
      <c r="I24" s="170"/>
      <c r="J24" s="780"/>
      <c r="K24" s="291" t="s">
        <v>284</v>
      </c>
    </row>
    <row r="25" spans="1:11" s="227" customFormat="1" ht="13.5" thickBot="1">
      <c r="A25" s="249" t="s">
        <v>55</v>
      </c>
      <c r="B25" s="252"/>
      <c r="C25" s="251"/>
      <c r="D25" s="746" t="s">
        <v>463</v>
      </c>
      <c r="E25" s="201" t="s">
        <v>227</v>
      </c>
      <c r="G25" s="249" t="s">
        <v>320</v>
      </c>
      <c r="H25" s="250"/>
      <c r="I25" s="250"/>
      <c r="J25" s="781"/>
      <c r="K25" s="201" t="s">
        <v>284</v>
      </c>
    </row>
    <row r="26" s="227" customFormat="1" ht="13.5" thickBot="1"/>
    <row r="27" spans="1:11" s="227" customFormat="1" ht="12.75">
      <c r="A27" s="243" t="s">
        <v>251</v>
      </c>
      <c r="B27" s="244"/>
      <c r="C27" s="244"/>
      <c r="D27" s="245"/>
      <c r="E27" s="246"/>
      <c r="G27" s="243" t="s">
        <v>400</v>
      </c>
      <c r="H27" s="244"/>
      <c r="I27" s="244"/>
      <c r="J27" s="245"/>
      <c r="K27" s="246"/>
    </row>
    <row r="28" spans="1:11" s="227" customFormat="1" ht="15">
      <c r="A28" s="1" t="s">
        <v>254</v>
      </c>
      <c r="B28" s="799"/>
      <c r="C28" s="799"/>
      <c r="D28" s="800"/>
      <c r="E28" s="801" t="s">
        <v>252</v>
      </c>
      <c r="G28" s="292"/>
      <c r="H28" s="293"/>
      <c r="I28" s="293"/>
      <c r="J28" s="293"/>
      <c r="K28" s="294"/>
    </row>
    <row r="29" spans="1:11" s="227" customFormat="1" ht="15">
      <c r="A29" s="295" t="s">
        <v>2</v>
      </c>
      <c r="B29" s="296" t="s">
        <v>255</v>
      </c>
      <c r="C29" s="296" t="s">
        <v>256</v>
      </c>
      <c r="D29" s="297" t="s">
        <v>257</v>
      </c>
      <c r="E29" s="802"/>
      <c r="G29" s="292" t="s">
        <v>403</v>
      </c>
      <c r="H29" s="170"/>
      <c r="I29" s="170"/>
      <c r="J29" s="170"/>
      <c r="K29" s="291"/>
    </row>
    <row r="30" spans="1:11" s="227" customFormat="1" ht="24.75" customHeight="1">
      <c r="A30" s="298" t="s">
        <v>253</v>
      </c>
      <c r="B30" s="747" t="s">
        <v>455</v>
      </c>
      <c r="C30" s="747" t="s">
        <v>455</v>
      </c>
      <c r="D30" s="748"/>
      <c r="E30" s="749" t="s">
        <v>456</v>
      </c>
      <c r="G30" s="805" t="s">
        <v>404</v>
      </c>
      <c r="H30" s="806"/>
      <c r="I30" s="807"/>
      <c r="J30" s="384" t="s">
        <v>401</v>
      </c>
      <c r="K30" s="299" t="s">
        <v>402</v>
      </c>
    </row>
    <row r="31" spans="1:11" s="227" customFormat="1" ht="15">
      <c r="A31" s="300">
        <f>+D5</f>
        <v>2011</v>
      </c>
      <c r="B31" s="750">
        <v>4750</v>
      </c>
      <c r="C31" s="713">
        <v>1200</v>
      </c>
      <c r="D31" s="751"/>
      <c r="E31" s="752">
        <v>1137.5319</v>
      </c>
      <c r="G31" s="301" t="str">
        <f>IF(MODR="","","Panel solar de "&amp;VLOOKUP(region&amp;MODR,MODFOT,3,FALSE)&amp;" Wp")</f>
        <v>Panel solar de 100 Wp</v>
      </c>
      <c r="H31" s="293"/>
      <c r="I31" s="293"/>
      <c r="J31" s="302">
        <f aca="true" t="shared" si="0" ref="J31:J36">IF(G31="","",1)</f>
        <v>1</v>
      </c>
      <c r="K31" s="303" t="str">
        <f>IF(G31="","","OSINERGMIN")</f>
        <v>OSINERGMIN</v>
      </c>
    </row>
    <row r="32" spans="1:11" s="227" customFormat="1" ht="15">
      <c r="A32" s="300">
        <f>1+A31</f>
        <v>2012</v>
      </c>
      <c r="B32" s="750">
        <v>4750</v>
      </c>
      <c r="C32" s="713">
        <v>1200</v>
      </c>
      <c r="D32" s="751"/>
      <c r="E32" s="752">
        <v>1160.282538</v>
      </c>
      <c r="G32" s="301" t="str">
        <f>IF(MODR="","","Regulador de carga de 10 A")</f>
        <v>Regulador de carga de 10 A</v>
      </c>
      <c r="H32" s="293"/>
      <c r="I32" s="293"/>
      <c r="J32" s="302">
        <f t="shared" si="0"/>
        <v>1</v>
      </c>
      <c r="K32" s="303" t="str">
        <f>IF(G32="","","OSINERGMIN")</f>
        <v>OSINERGMIN</v>
      </c>
    </row>
    <row r="33" spans="1:11" s="227" customFormat="1" ht="15">
      <c r="A33" s="300">
        <f aca="true" t="shared" si="1" ref="A33:A51">1+A32</f>
        <v>2013</v>
      </c>
      <c r="B33" s="750">
        <v>4750</v>
      </c>
      <c r="C33" s="713">
        <v>1200</v>
      </c>
      <c r="D33" s="751"/>
      <c r="E33" s="752">
        <v>1183.4881887600002</v>
      </c>
      <c r="G33" s="301" t="str">
        <f>IF(MODR="","","Bateria Solar de 12 VDC, "&amp;VLOOKUP(region&amp;MODR,MODFOT,6,FALSE)&amp;" Ah")</f>
        <v>Bateria Solar de 12 VDC, 150 Ah</v>
      </c>
      <c r="H33" s="293"/>
      <c r="I33" s="293"/>
      <c r="J33" s="302">
        <f t="shared" si="0"/>
        <v>1</v>
      </c>
      <c r="K33" s="303" t="str">
        <f aca="true" t="shared" si="2" ref="K33:K38">IF(G33="","","OSINERGMIN")</f>
        <v>OSINERGMIN</v>
      </c>
    </row>
    <row r="34" spans="1:11" s="227" customFormat="1" ht="15">
      <c r="A34" s="300">
        <f t="shared" si="1"/>
        <v>2014</v>
      </c>
      <c r="B34" s="750">
        <v>4750</v>
      </c>
      <c r="C34" s="713">
        <v>1200</v>
      </c>
      <c r="D34" s="751"/>
      <c r="E34" s="752">
        <v>1207.1579525352001</v>
      </c>
      <c r="G34" s="301" t="str">
        <f>IF(MODR="","","Soporte de Módulo")</f>
        <v>Soporte de Módulo</v>
      </c>
      <c r="H34" s="293"/>
      <c r="I34" s="293"/>
      <c r="J34" s="302">
        <f t="shared" si="0"/>
        <v>1</v>
      </c>
      <c r="K34" s="303" t="str">
        <f t="shared" si="2"/>
        <v>OSINERGMIN</v>
      </c>
    </row>
    <row r="35" spans="1:11" s="227" customFormat="1" ht="15">
      <c r="A35" s="300">
        <f t="shared" si="1"/>
        <v>2015</v>
      </c>
      <c r="B35" s="750">
        <v>4750</v>
      </c>
      <c r="C35" s="713">
        <v>1200</v>
      </c>
      <c r="D35" s="751"/>
      <c r="E35" s="752">
        <v>1231.3011115859042</v>
      </c>
      <c r="G35" s="301" t="str">
        <f>IF(MODR="","","Tablero de Distribución")</f>
        <v>Tablero de Distribución</v>
      </c>
      <c r="H35" s="293"/>
      <c r="I35" s="293"/>
      <c r="J35" s="302">
        <f t="shared" si="0"/>
        <v>1</v>
      </c>
      <c r="K35" s="303" t="str">
        <f t="shared" si="2"/>
        <v>OSINERGMIN</v>
      </c>
    </row>
    <row r="36" spans="1:11" s="227" customFormat="1" ht="15">
      <c r="A36" s="300">
        <f t="shared" si="1"/>
        <v>2016</v>
      </c>
      <c r="B36" s="750">
        <v>4750</v>
      </c>
      <c r="C36" s="713">
        <v>1200</v>
      </c>
      <c r="D36" s="751"/>
      <c r="E36" s="752">
        <v>1255.927133817622</v>
      </c>
      <c r="G36" s="301" t="str">
        <f>IF(MODR="","","Materiales y accesorios de instalación")</f>
        <v>Materiales y accesorios de instalación</v>
      </c>
      <c r="H36" s="293"/>
      <c r="I36" s="293"/>
      <c r="J36" s="302">
        <f t="shared" si="0"/>
        <v>1</v>
      </c>
      <c r="K36" s="303" t="str">
        <f t="shared" si="2"/>
        <v>OSINERGMIN</v>
      </c>
    </row>
    <row r="37" spans="1:11" s="227" customFormat="1" ht="15">
      <c r="A37" s="300">
        <f t="shared" si="1"/>
        <v>2017</v>
      </c>
      <c r="B37" s="750">
        <v>4750</v>
      </c>
      <c r="C37" s="713">
        <v>1200</v>
      </c>
      <c r="D37" s="751"/>
      <c r="E37" s="752">
        <v>1281.0456764939747</v>
      </c>
      <c r="G37" s="301" t="str">
        <f>IF(MODR="","","Lámpara Fluorecente compacta DC, 11 W")</f>
        <v>Lámpara Fluorecente compacta DC, 11 W</v>
      </c>
      <c r="H37" s="293"/>
      <c r="I37" s="293"/>
      <c r="J37" s="302">
        <f>IF(G37="","",3)</f>
        <v>3</v>
      </c>
      <c r="K37" s="303" t="str">
        <f t="shared" si="2"/>
        <v>OSINERGMIN</v>
      </c>
    </row>
    <row r="38" spans="1:11" s="227" customFormat="1" ht="15">
      <c r="A38" s="300">
        <f t="shared" si="1"/>
        <v>2018</v>
      </c>
      <c r="B38" s="750">
        <v>4750</v>
      </c>
      <c r="C38" s="713">
        <v>1200</v>
      </c>
      <c r="D38" s="751"/>
      <c r="E38" s="752">
        <v>1306.666590023854</v>
      </c>
      <c r="G38" s="301" t="str">
        <f>IF(MODR="","","Cables, conectores, tomacorrientes, etc")</f>
        <v>Cables, conectores, tomacorrientes, etc</v>
      </c>
      <c r="H38" s="293"/>
      <c r="I38" s="293"/>
      <c r="J38" s="302">
        <f>IF(G38="","",1)</f>
        <v>1</v>
      </c>
      <c r="K38" s="303" t="str">
        <f t="shared" si="2"/>
        <v>OSINERGMIN</v>
      </c>
    </row>
    <row r="39" spans="1:11" s="227" customFormat="1" ht="15">
      <c r="A39" s="300">
        <f t="shared" si="1"/>
        <v>2019</v>
      </c>
      <c r="B39" s="750">
        <v>4750</v>
      </c>
      <c r="C39" s="713">
        <v>1200</v>
      </c>
      <c r="D39" s="751"/>
      <c r="E39" s="752">
        <v>1332.7999218243315</v>
      </c>
      <c r="G39" s="304" t="str">
        <f>IF(MODR="","","salida de 12 V para uso Multiple")</f>
        <v>salida de 12 V para uso Multiple</v>
      </c>
      <c r="H39" s="305"/>
      <c r="I39" s="305"/>
      <c r="J39" s="306">
        <f>IF(G39="","",1)</f>
        <v>1</v>
      </c>
      <c r="K39" s="307" t="str">
        <f>IF(G39="","","OSINERGMIN")</f>
        <v>OSINERGMIN</v>
      </c>
    </row>
    <row r="40" spans="1:11" s="227" customFormat="1" ht="15">
      <c r="A40" s="300">
        <f t="shared" si="1"/>
        <v>2020</v>
      </c>
      <c r="B40" s="750">
        <v>4750</v>
      </c>
      <c r="C40" s="713">
        <v>1200</v>
      </c>
      <c r="D40" s="751"/>
      <c r="E40" s="752">
        <v>1359.455920260818</v>
      </c>
      <c r="G40" s="308"/>
      <c r="H40" s="309"/>
      <c r="I40" s="309"/>
      <c r="J40" s="309"/>
      <c r="K40" s="310"/>
    </row>
    <row r="41" spans="1:11" s="227" customFormat="1" ht="15">
      <c r="A41" s="300">
        <f t="shared" si="1"/>
        <v>2021</v>
      </c>
      <c r="B41" s="750">
        <v>4750</v>
      </c>
      <c r="C41" s="713">
        <v>1200</v>
      </c>
      <c r="D41" s="751"/>
      <c r="E41" s="752">
        <v>1386.6450386660345</v>
      </c>
      <c r="G41" s="311" t="s">
        <v>405</v>
      </c>
      <c r="H41" s="305"/>
      <c r="I41" s="305"/>
      <c r="J41" s="305"/>
      <c r="K41" s="312"/>
    </row>
    <row r="42" spans="1:11" s="227" customFormat="1" ht="15">
      <c r="A42" s="300">
        <f t="shared" si="1"/>
        <v>2022</v>
      </c>
      <c r="B42" s="750">
        <v>4750</v>
      </c>
      <c r="C42" s="713">
        <v>1200</v>
      </c>
      <c r="D42" s="751"/>
      <c r="E42" s="752">
        <v>1414.377939439355</v>
      </c>
      <c r="G42" s="808" t="s">
        <v>404</v>
      </c>
      <c r="H42" s="809"/>
      <c r="I42" s="810"/>
      <c r="J42" s="386" t="s">
        <v>401</v>
      </c>
      <c r="K42" s="313" t="s">
        <v>402</v>
      </c>
    </row>
    <row r="43" spans="1:11" s="227" customFormat="1" ht="15">
      <c r="A43" s="300">
        <f t="shared" si="1"/>
        <v>2023</v>
      </c>
      <c r="B43" s="750">
        <v>4750</v>
      </c>
      <c r="C43" s="713">
        <v>1200</v>
      </c>
      <c r="D43" s="751"/>
      <c r="E43" s="752">
        <v>1442.665498228142</v>
      </c>
      <c r="G43" s="314" t="str">
        <f>IF(ModUG="","","Panel solar de "&amp;VLOOKUP(region&amp;ModUG,MODFOT,3,FALSE)&amp;" Wp")</f>
        <v>Panel solar de 80 Wp</v>
      </c>
      <c r="H43" s="309"/>
      <c r="I43" s="309"/>
      <c r="J43" s="315">
        <f>IF(ModUG="","",VLOOKUP(region&amp;ModUG,MODFOT,4,FALSE))</f>
        <v>2</v>
      </c>
      <c r="K43" s="316" t="str">
        <f aca="true" t="shared" si="3" ref="K43:K49">IF(ModUG="","","OSINERGMIN")</f>
        <v>OSINERGMIN</v>
      </c>
    </row>
    <row r="44" spans="1:11" s="227" customFormat="1" ht="15">
      <c r="A44" s="300">
        <f t="shared" si="1"/>
        <v>2024</v>
      </c>
      <c r="B44" s="750">
        <v>4750</v>
      </c>
      <c r="C44" s="713">
        <v>1200</v>
      </c>
      <c r="D44" s="751"/>
      <c r="E44" s="752">
        <v>1471.518808192705</v>
      </c>
      <c r="G44" s="301" t="str">
        <f>IF(ModUG="","","Regulador de carga de "&amp;VLOOKUP(region&amp;ModUG,MODFOT,5,FALSE)&amp;" A")</f>
        <v>Regulador de carga de 20 A</v>
      </c>
      <c r="H44" s="293"/>
      <c r="I44" s="293"/>
      <c r="J44" s="302">
        <f>IF(ModUG="","",1)</f>
        <v>1</v>
      </c>
      <c r="K44" s="303" t="str">
        <f t="shared" si="3"/>
        <v>OSINERGMIN</v>
      </c>
    </row>
    <row r="45" spans="1:11" s="227" customFormat="1" ht="15">
      <c r="A45" s="300">
        <f t="shared" si="1"/>
        <v>2025</v>
      </c>
      <c r="B45" s="750">
        <v>4750</v>
      </c>
      <c r="C45" s="713">
        <v>1200</v>
      </c>
      <c r="D45" s="751"/>
      <c r="E45" s="752">
        <v>1500.949184356559</v>
      </c>
      <c r="G45" s="301" t="str">
        <f>IF(ModUG="","","Bateria Solar de 12 VDC, "&amp;VLOOKUP(region&amp;ModUG,MODFOT,6,FALSE)&amp;" Ah")</f>
        <v>Bateria Solar de 12 VDC, 150 Ah</v>
      </c>
      <c r="H45" s="293"/>
      <c r="I45" s="293"/>
      <c r="J45" s="302">
        <f>IF(ModUG="","",VLOOKUP(region&amp;ModUG,MODFOT,7,FALSE))</f>
        <v>2</v>
      </c>
      <c r="K45" s="303" t="str">
        <f t="shared" si="3"/>
        <v>OSINERGMIN</v>
      </c>
    </row>
    <row r="46" spans="1:11" s="227" customFormat="1" ht="15">
      <c r="A46" s="300">
        <f t="shared" si="1"/>
        <v>2026</v>
      </c>
      <c r="B46" s="750">
        <v>4750</v>
      </c>
      <c r="C46" s="713">
        <v>1200</v>
      </c>
      <c r="D46" s="751"/>
      <c r="E46" s="752">
        <v>1530.9681680436902</v>
      </c>
      <c r="G46" s="301" t="str">
        <f>IF(ModUG="","","Inversor DC-AC "&amp;VLOOKUP(region&amp;ModUG,MODFOT,8,FALSE)&amp;" W")</f>
        <v>Inversor DC-AC 300 W</v>
      </c>
      <c r="H46" s="293"/>
      <c r="I46" s="293"/>
      <c r="J46" s="302">
        <f>IF(ModUG="","",1)</f>
        <v>1</v>
      </c>
      <c r="K46" s="303" t="str">
        <f t="shared" si="3"/>
        <v>OSINERGMIN</v>
      </c>
    </row>
    <row r="47" spans="1:11" s="227" customFormat="1" ht="15">
      <c r="A47" s="300">
        <f t="shared" si="1"/>
        <v>2027</v>
      </c>
      <c r="B47" s="750">
        <v>4750</v>
      </c>
      <c r="C47" s="713">
        <v>1200</v>
      </c>
      <c r="D47" s="751"/>
      <c r="E47" s="752">
        <v>1561.587531404564</v>
      </c>
      <c r="G47" s="301" t="str">
        <f>IF(ModUG="","","Soporte de Módulo")</f>
        <v>Soporte de Módulo</v>
      </c>
      <c r="H47" s="293"/>
      <c r="I47" s="293"/>
      <c r="J47" s="302">
        <f>IF(ModUG="","",VLOOKUP(region&amp;ModUG,MODFOT,9,FALSE))</f>
        <v>1</v>
      </c>
      <c r="K47" s="303" t="str">
        <f t="shared" si="3"/>
        <v>OSINERGMIN</v>
      </c>
    </row>
    <row r="48" spans="1:11" s="227" customFormat="1" ht="15">
      <c r="A48" s="300">
        <f t="shared" si="1"/>
        <v>2028</v>
      </c>
      <c r="B48" s="750">
        <v>4750</v>
      </c>
      <c r="C48" s="713">
        <v>1200</v>
      </c>
      <c r="D48" s="751"/>
      <c r="E48" s="752">
        <v>1592.8192820326553</v>
      </c>
      <c r="G48" s="301" t="str">
        <f>IF(ModUG="","","Tablero de Distribución")</f>
        <v>Tablero de Distribución</v>
      </c>
      <c r="H48" s="293"/>
      <c r="I48" s="293"/>
      <c r="J48" s="302">
        <f>IF(ModUG="","",1)</f>
        <v>1</v>
      </c>
      <c r="K48" s="303" t="str">
        <f t="shared" si="3"/>
        <v>OSINERGMIN</v>
      </c>
    </row>
    <row r="49" spans="1:11" s="227" customFormat="1" ht="15">
      <c r="A49" s="300">
        <f t="shared" si="1"/>
        <v>2029</v>
      </c>
      <c r="B49" s="750">
        <v>4750</v>
      </c>
      <c r="C49" s="713">
        <v>1200</v>
      </c>
      <c r="D49" s="751"/>
      <c r="E49" s="752">
        <v>1624.6756676733085</v>
      </c>
      <c r="G49" s="301" t="str">
        <f>IF(ModUG="","","Materiales y accesorios de instalación")</f>
        <v>Materiales y accesorios de instalación</v>
      </c>
      <c r="H49" s="293"/>
      <c r="I49" s="293"/>
      <c r="J49" s="302">
        <f>IF(ModUG="","",1)</f>
        <v>1</v>
      </c>
      <c r="K49" s="303" t="str">
        <f t="shared" si="3"/>
        <v>OSINERGMIN</v>
      </c>
    </row>
    <row r="50" spans="1:11" s="227" customFormat="1" ht="15">
      <c r="A50" s="300">
        <f t="shared" si="1"/>
        <v>2030</v>
      </c>
      <c r="B50" s="750">
        <v>4750</v>
      </c>
      <c r="C50" s="713">
        <v>1200</v>
      </c>
      <c r="D50" s="751"/>
      <c r="E50" s="752">
        <v>1657.1691810267748</v>
      </c>
      <c r="G50" s="301"/>
      <c r="H50" s="293"/>
      <c r="I50" s="293"/>
      <c r="J50" s="302"/>
      <c r="K50" s="303"/>
    </row>
    <row r="51" spans="1:11" s="227" customFormat="1" ht="15.75" thickBot="1">
      <c r="A51" s="317">
        <f t="shared" si="1"/>
        <v>2031</v>
      </c>
      <c r="B51" s="753">
        <v>4750</v>
      </c>
      <c r="C51" s="753">
        <v>1200</v>
      </c>
      <c r="D51" s="754"/>
      <c r="E51" s="755">
        <v>1680</v>
      </c>
      <c r="G51" s="318"/>
      <c r="H51" s="319"/>
      <c r="I51" s="319"/>
      <c r="J51" s="320"/>
      <c r="K51" s="321"/>
    </row>
    <row r="52" spans="13:14" s="227" customFormat="1" ht="13.5" thickBot="1">
      <c r="M52" s="170"/>
      <c r="N52" s="170"/>
    </row>
    <row r="53" spans="1:14" s="227" customFormat="1" ht="12.75">
      <c r="A53" s="243" t="s">
        <v>380</v>
      </c>
      <c r="B53" s="244"/>
      <c r="C53" s="244"/>
      <c r="D53" s="245"/>
      <c r="E53" s="246"/>
      <c r="G53" s="243" t="s">
        <v>380</v>
      </c>
      <c r="H53" s="244"/>
      <c r="I53" s="244"/>
      <c r="J53" s="245"/>
      <c r="K53" s="246"/>
      <c r="M53" s="170"/>
      <c r="N53" s="170"/>
    </row>
    <row r="54" spans="1:14" s="227" customFormat="1" ht="12.75">
      <c r="A54" s="322" t="s">
        <v>25</v>
      </c>
      <c r="B54" s="323"/>
      <c r="C54" s="324"/>
      <c r="D54" s="232"/>
      <c r="E54" s="291"/>
      <c r="G54" s="322" t="s">
        <v>25</v>
      </c>
      <c r="H54" s="323"/>
      <c r="I54" s="324"/>
      <c r="J54" s="232"/>
      <c r="K54" s="291"/>
      <c r="M54" s="170"/>
      <c r="N54" s="170"/>
    </row>
    <row r="55" spans="1:14" s="227" customFormat="1" ht="12.75">
      <c r="A55" s="325" t="s">
        <v>131</v>
      </c>
      <c r="B55" s="326"/>
      <c r="C55" s="327"/>
      <c r="D55" s="714">
        <v>243925.77159999998</v>
      </c>
      <c r="E55" s="291" t="s">
        <v>213</v>
      </c>
      <c r="G55" s="325" t="s">
        <v>289</v>
      </c>
      <c r="H55" s="326"/>
      <c r="I55" s="327"/>
      <c r="J55" s="714"/>
      <c r="K55" s="291" t="s">
        <v>213</v>
      </c>
      <c r="M55" s="170"/>
      <c r="N55" s="170"/>
    </row>
    <row r="56" spans="1:14" s="227" customFormat="1" ht="12.75">
      <c r="A56" s="325" t="s">
        <v>249</v>
      </c>
      <c r="B56" s="326"/>
      <c r="C56" s="327"/>
      <c r="D56" s="716">
        <v>30736.88366</v>
      </c>
      <c r="E56" s="291" t="s">
        <v>213</v>
      </c>
      <c r="G56" s="325" t="s">
        <v>290</v>
      </c>
      <c r="H56" s="326"/>
      <c r="I56" s="327"/>
      <c r="J56" s="715">
        <v>18892.44</v>
      </c>
      <c r="K56" s="291" t="s">
        <v>213</v>
      </c>
      <c r="M56" s="170"/>
      <c r="N56" s="170"/>
    </row>
    <row r="57" spans="1:14" s="227" customFormat="1" ht="12.75">
      <c r="A57" s="328" t="s">
        <v>140</v>
      </c>
      <c r="B57" s="329"/>
      <c r="C57" s="330"/>
      <c r="D57" s="331"/>
      <c r="E57" s="291"/>
      <c r="G57" s="325" t="s">
        <v>249</v>
      </c>
      <c r="H57" s="329"/>
      <c r="I57" s="330"/>
      <c r="J57" s="716"/>
      <c r="K57" s="291"/>
      <c r="M57" s="170"/>
      <c r="N57" s="170"/>
    </row>
    <row r="58" spans="1:14" s="227" customFormat="1" ht="12.75">
      <c r="A58" s="328" t="s">
        <v>137</v>
      </c>
      <c r="B58" s="329"/>
      <c r="C58" s="330"/>
      <c r="D58" s="331"/>
      <c r="E58" s="291"/>
      <c r="G58" s="328"/>
      <c r="H58" s="329"/>
      <c r="I58" s="330"/>
      <c r="J58" s="331"/>
      <c r="K58" s="291"/>
      <c r="M58" s="170"/>
      <c r="N58" s="170"/>
    </row>
    <row r="59" spans="1:14" s="227" customFormat="1" ht="12.75">
      <c r="A59" s="332" t="s">
        <v>62</v>
      </c>
      <c r="B59" s="333"/>
      <c r="C59" s="334"/>
      <c r="D59" s="714">
        <f>65807.56525</f>
        <v>65807.56525</v>
      </c>
      <c r="E59" s="291" t="s">
        <v>213</v>
      </c>
      <c r="G59" s="328" t="s">
        <v>140</v>
      </c>
      <c r="H59" s="329"/>
      <c r="I59" s="330"/>
      <c r="J59" s="331"/>
      <c r="K59" s="291"/>
      <c r="M59" s="170"/>
      <c r="N59" s="170"/>
    </row>
    <row r="60" spans="1:14" s="227" customFormat="1" ht="12.75">
      <c r="A60" s="332" t="s">
        <v>63</v>
      </c>
      <c r="B60" s="333"/>
      <c r="C60" s="334"/>
      <c r="D60" s="715">
        <v>146474.90445</v>
      </c>
      <c r="E60" s="291" t="s">
        <v>213</v>
      </c>
      <c r="G60" s="328" t="s">
        <v>306</v>
      </c>
      <c r="H60" s="333"/>
      <c r="I60" s="334"/>
      <c r="J60" s="335"/>
      <c r="K60" s="291"/>
      <c r="M60" s="170"/>
      <c r="N60" s="170"/>
    </row>
    <row r="61" spans="1:14" s="227" customFormat="1" ht="12.75">
      <c r="A61" s="332" t="s">
        <v>135</v>
      </c>
      <c r="B61" s="333"/>
      <c r="C61" s="334"/>
      <c r="D61" s="715">
        <v>144996.07121999998</v>
      </c>
      <c r="E61" s="291" t="s">
        <v>213</v>
      </c>
      <c r="G61" s="332" t="s">
        <v>297</v>
      </c>
      <c r="H61" s="333"/>
      <c r="I61" s="334"/>
      <c r="J61" s="714">
        <v>545991.516</v>
      </c>
      <c r="K61" s="291" t="s">
        <v>213</v>
      </c>
      <c r="M61" s="170"/>
      <c r="N61" s="170"/>
    </row>
    <row r="62" spans="1:14" s="227" customFormat="1" ht="12.75">
      <c r="A62" s="332" t="s">
        <v>136</v>
      </c>
      <c r="B62" s="333"/>
      <c r="C62" s="334"/>
      <c r="D62" s="715">
        <v>96664.04748</v>
      </c>
      <c r="E62" s="291" t="s">
        <v>213</v>
      </c>
      <c r="G62" s="332" t="s">
        <v>298</v>
      </c>
      <c r="H62" s="333"/>
      <c r="I62" s="334"/>
      <c r="J62" s="715">
        <v>528988.32</v>
      </c>
      <c r="K62" s="291" t="s">
        <v>213</v>
      </c>
      <c r="M62" s="170"/>
      <c r="N62" s="170"/>
    </row>
    <row r="63" spans="1:14" s="227" customFormat="1" ht="12.75">
      <c r="A63" s="332" t="s">
        <v>134</v>
      </c>
      <c r="B63" s="333"/>
      <c r="C63" s="334"/>
      <c r="D63" s="716">
        <v>19088.3021</v>
      </c>
      <c r="E63" s="291" t="s">
        <v>213</v>
      </c>
      <c r="G63" s="332" t="s">
        <v>299</v>
      </c>
      <c r="H63" s="333"/>
      <c r="I63" s="334"/>
      <c r="J63" s="715">
        <v>94462.2</v>
      </c>
      <c r="K63" s="291" t="s">
        <v>213</v>
      </c>
      <c r="M63" s="170"/>
      <c r="N63" s="170"/>
    </row>
    <row r="64" spans="1:14" s="227" customFormat="1" ht="12.75">
      <c r="A64" s="328" t="s">
        <v>138</v>
      </c>
      <c r="B64" s="329"/>
      <c r="C64" s="330"/>
      <c r="D64" s="331"/>
      <c r="E64" s="291"/>
      <c r="G64" s="332" t="s">
        <v>300</v>
      </c>
      <c r="H64" s="333"/>
      <c r="I64" s="334"/>
      <c r="J64" s="715">
        <v>73680.51599999999</v>
      </c>
      <c r="K64" s="291" t="s">
        <v>213</v>
      </c>
      <c r="M64" s="170"/>
      <c r="N64" s="170"/>
    </row>
    <row r="65" spans="1:14" s="227" customFormat="1" ht="12.75">
      <c r="A65" s="332" t="s">
        <v>62</v>
      </c>
      <c r="B65" s="333"/>
      <c r="C65" s="334"/>
      <c r="D65" s="714">
        <v>73789.56879</v>
      </c>
      <c r="E65" s="291" t="s">
        <v>213</v>
      </c>
      <c r="G65" s="332" t="s">
        <v>301</v>
      </c>
      <c r="H65" s="329"/>
      <c r="I65" s="330"/>
      <c r="J65" s="715">
        <v>5441.022719999999</v>
      </c>
      <c r="K65" s="291" t="s">
        <v>213</v>
      </c>
      <c r="M65" s="170"/>
      <c r="N65" s="170"/>
    </row>
    <row r="66" spans="1:14" s="227" customFormat="1" ht="12.75">
      <c r="A66" s="332" t="s">
        <v>63</v>
      </c>
      <c r="B66" s="333"/>
      <c r="C66" s="334"/>
      <c r="D66" s="715">
        <v>164241.29981</v>
      </c>
      <c r="E66" s="291" t="s">
        <v>213</v>
      </c>
      <c r="G66" s="332" t="s">
        <v>436</v>
      </c>
      <c r="H66" s="333"/>
      <c r="I66" s="334"/>
      <c r="J66" s="716"/>
      <c r="K66" s="291" t="s">
        <v>213</v>
      </c>
      <c r="M66" s="170"/>
      <c r="N66" s="170"/>
    </row>
    <row r="67" spans="1:14" s="227" customFormat="1" ht="12.75">
      <c r="A67" s="332" t="s">
        <v>135</v>
      </c>
      <c r="B67" s="333"/>
      <c r="C67" s="334"/>
      <c r="D67" s="715">
        <v>64153.16417999999</v>
      </c>
      <c r="E67" s="291" t="s">
        <v>213</v>
      </c>
      <c r="G67" s="328" t="s">
        <v>307</v>
      </c>
      <c r="H67" s="333"/>
      <c r="I67" s="334"/>
      <c r="J67" s="335"/>
      <c r="K67" s="291"/>
      <c r="M67" s="170"/>
      <c r="N67" s="170"/>
    </row>
    <row r="68" spans="1:14" s="227" customFormat="1" ht="12.75">
      <c r="A68" s="332" t="s">
        <v>136</v>
      </c>
      <c r="B68" s="333"/>
      <c r="C68" s="334"/>
      <c r="D68" s="715">
        <v>42768.77612</v>
      </c>
      <c r="E68" s="291" t="s">
        <v>213</v>
      </c>
      <c r="G68" s="332" t="s">
        <v>302</v>
      </c>
      <c r="H68" s="333"/>
      <c r="I68" s="334"/>
      <c r="J68" s="714">
        <v>47231.1</v>
      </c>
      <c r="K68" s="291" t="s">
        <v>213</v>
      </c>
      <c r="M68" s="170"/>
      <c r="N68" s="170"/>
    </row>
    <row r="69" spans="1:14" s="227" customFormat="1" ht="12.75">
      <c r="A69" s="332" t="s">
        <v>134</v>
      </c>
      <c r="B69" s="333"/>
      <c r="C69" s="334"/>
      <c r="D69" s="716">
        <v>11217.4517</v>
      </c>
      <c r="E69" s="291" t="s">
        <v>213</v>
      </c>
      <c r="G69" s="332" t="s">
        <v>453</v>
      </c>
      <c r="H69" s="333"/>
      <c r="I69" s="334"/>
      <c r="J69" s="716">
        <v>273940.37999999995</v>
      </c>
      <c r="K69" s="291" t="s">
        <v>213</v>
      </c>
      <c r="M69" s="170"/>
      <c r="N69" s="170"/>
    </row>
    <row r="70" spans="1:14" s="227" customFormat="1" ht="12.75">
      <c r="A70" s="328" t="s">
        <v>461</v>
      </c>
      <c r="B70" s="329"/>
      <c r="C70" s="330"/>
      <c r="D70" s="331"/>
      <c r="E70" s="291"/>
      <c r="G70" s="328" t="s">
        <v>308</v>
      </c>
      <c r="H70" s="333"/>
      <c r="I70" s="334"/>
      <c r="J70" s="335"/>
      <c r="K70" s="291"/>
      <c r="M70" s="170"/>
      <c r="N70" s="170"/>
    </row>
    <row r="71" spans="1:14" s="227" customFormat="1" ht="12.75">
      <c r="A71" s="332" t="s">
        <v>62</v>
      </c>
      <c r="B71" s="333"/>
      <c r="C71" s="334"/>
      <c r="D71" s="714">
        <v>186129.65525</v>
      </c>
      <c r="E71" s="291" t="s">
        <v>213</v>
      </c>
      <c r="G71" s="332" t="s">
        <v>304</v>
      </c>
      <c r="H71" s="333"/>
      <c r="I71" s="334"/>
      <c r="J71" s="714">
        <v>75569.76</v>
      </c>
      <c r="K71" s="291" t="s">
        <v>213</v>
      </c>
      <c r="M71" s="170"/>
      <c r="N71" s="170"/>
    </row>
    <row r="72" spans="1:14" s="227" customFormat="1" ht="12.75">
      <c r="A72" s="332" t="s">
        <v>63</v>
      </c>
      <c r="B72" s="333"/>
      <c r="C72" s="334"/>
      <c r="D72" s="715">
        <v>345669.36145</v>
      </c>
      <c r="E72" s="291" t="s">
        <v>213</v>
      </c>
      <c r="G72" s="332" t="s">
        <v>305</v>
      </c>
      <c r="H72" s="329"/>
      <c r="I72" s="330"/>
      <c r="J72" s="716"/>
      <c r="K72" s="291" t="s">
        <v>213</v>
      </c>
      <c r="M72" s="170"/>
      <c r="N72" s="170"/>
    </row>
    <row r="73" spans="1:14" s="227" customFormat="1" ht="12.75">
      <c r="A73" s="332" t="s">
        <v>135</v>
      </c>
      <c r="B73" s="333"/>
      <c r="C73" s="334"/>
      <c r="D73" s="715">
        <v>230514.28595999998</v>
      </c>
      <c r="E73" s="291" t="s">
        <v>213</v>
      </c>
      <c r="G73" s="336" t="s">
        <v>134</v>
      </c>
      <c r="H73" s="333"/>
      <c r="I73" s="334"/>
      <c r="J73" s="714">
        <v>123138.22499999999</v>
      </c>
      <c r="K73" s="291" t="s">
        <v>213</v>
      </c>
      <c r="M73" s="170"/>
      <c r="N73" s="170"/>
    </row>
    <row r="74" spans="1:14" s="227" customFormat="1" ht="12.75">
      <c r="A74" s="332" t="s">
        <v>136</v>
      </c>
      <c r="B74" s="333"/>
      <c r="C74" s="334"/>
      <c r="D74" s="715">
        <v>124123.07733</v>
      </c>
      <c r="E74" s="291" t="s">
        <v>213</v>
      </c>
      <c r="G74" s="337" t="s">
        <v>133</v>
      </c>
      <c r="H74" s="333"/>
      <c r="I74" s="334"/>
      <c r="J74" s="714">
        <v>89366.77398599999</v>
      </c>
      <c r="K74" s="291" t="s">
        <v>213</v>
      </c>
      <c r="M74" s="170"/>
      <c r="N74" s="170"/>
    </row>
    <row r="75" spans="1:14" s="227" customFormat="1" ht="12.75">
      <c r="A75" s="332" t="s">
        <v>134</v>
      </c>
      <c r="B75" s="333"/>
      <c r="C75" s="334"/>
      <c r="D75" s="715">
        <v>77940.98969999999</v>
      </c>
      <c r="E75" s="291" t="s">
        <v>213</v>
      </c>
      <c r="G75" s="337" t="s">
        <v>379</v>
      </c>
      <c r="H75" s="333"/>
      <c r="I75" s="334"/>
      <c r="J75" s="768">
        <v>0.05</v>
      </c>
      <c r="K75" s="291" t="s">
        <v>213</v>
      </c>
      <c r="M75" s="170"/>
      <c r="N75" s="170"/>
    </row>
    <row r="76" spans="1:14" s="227" customFormat="1" ht="12.75">
      <c r="A76" s="338" t="s">
        <v>133</v>
      </c>
      <c r="B76" s="339"/>
      <c r="C76" s="340"/>
      <c r="D76" s="715">
        <v>215229.42258999997</v>
      </c>
      <c r="E76" s="291" t="s">
        <v>213</v>
      </c>
      <c r="G76" s="328"/>
      <c r="H76" s="333"/>
      <c r="I76" s="334"/>
      <c r="J76" s="335"/>
      <c r="K76" s="291"/>
      <c r="M76" s="170"/>
      <c r="N76" s="170"/>
    </row>
    <row r="77" spans="1:14" s="227" customFormat="1" ht="12.75">
      <c r="A77" s="338" t="s">
        <v>379</v>
      </c>
      <c r="B77" s="339"/>
      <c r="C77" s="340"/>
      <c r="D77" s="756">
        <v>0.08</v>
      </c>
      <c r="E77" s="291" t="s">
        <v>213</v>
      </c>
      <c r="G77" s="328" t="s">
        <v>210</v>
      </c>
      <c r="H77" s="333"/>
      <c r="I77" s="334"/>
      <c r="J77" s="335"/>
      <c r="K77" s="291"/>
      <c r="M77" s="170"/>
      <c r="N77" s="170"/>
    </row>
    <row r="78" spans="1:13" s="227" customFormat="1" ht="12.75">
      <c r="A78" s="328" t="s">
        <v>210</v>
      </c>
      <c r="B78" s="329"/>
      <c r="C78" s="330"/>
      <c r="D78" s="335"/>
      <c r="E78" s="291"/>
      <c r="G78" s="332" t="s">
        <v>462</v>
      </c>
      <c r="H78" s="339"/>
      <c r="I78" s="340"/>
      <c r="J78" s="714">
        <v>18892.44</v>
      </c>
      <c r="K78" s="291" t="s">
        <v>213</v>
      </c>
      <c r="M78" s="170"/>
    </row>
    <row r="79" spans="1:13" s="227" customFormat="1" ht="12.75">
      <c r="A79" s="332" t="s">
        <v>139</v>
      </c>
      <c r="B79" s="333"/>
      <c r="C79" s="333"/>
      <c r="D79" s="714">
        <v>3378.7193999999995</v>
      </c>
      <c r="E79" s="291" t="s">
        <v>213</v>
      </c>
      <c r="G79" s="332" t="s">
        <v>381</v>
      </c>
      <c r="H79" s="329"/>
      <c r="I79" s="330"/>
      <c r="J79" s="716"/>
      <c r="K79" s="291"/>
      <c r="M79" s="170"/>
    </row>
    <row r="80" spans="1:13" s="227" customFormat="1" ht="13.5" thickBot="1">
      <c r="A80" s="332" t="s">
        <v>132</v>
      </c>
      <c r="B80" s="333"/>
      <c r="C80" s="333"/>
      <c r="D80" s="714">
        <f>424045.314</f>
        <v>424045.314</v>
      </c>
      <c r="E80" s="291" t="s">
        <v>213</v>
      </c>
      <c r="G80" s="341"/>
      <c r="H80" s="342"/>
      <c r="I80" s="343"/>
      <c r="J80" s="344"/>
      <c r="K80" s="345"/>
      <c r="M80" s="170"/>
    </row>
    <row r="81" spans="1:13" s="227" customFormat="1" ht="13.5" thickBot="1">
      <c r="A81" s="341" t="s">
        <v>381</v>
      </c>
      <c r="B81" s="342"/>
      <c r="C81" s="342"/>
      <c r="D81" s="757">
        <f>50713.15662</f>
        <v>50713.15662</v>
      </c>
      <c r="E81" s="345"/>
      <c r="G81" s="333"/>
      <c r="H81" s="333"/>
      <c r="I81" s="333"/>
      <c r="J81" s="346"/>
      <c r="K81" s="170"/>
      <c r="M81" s="170"/>
    </row>
    <row r="82" spans="1:11" s="227" customFormat="1" ht="12.75">
      <c r="A82" s="253" t="s">
        <v>399</v>
      </c>
      <c r="B82" s="254"/>
      <c r="C82" s="254"/>
      <c r="D82" s="255"/>
      <c r="E82" s="717" t="s">
        <v>459</v>
      </c>
      <c r="G82" s="253" t="s">
        <v>399</v>
      </c>
      <c r="H82" s="254"/>
      <c r="I82" s="254"/>
      <c r="J82" s="255"/>
      <c r="K82" s="717" t="s">
        <v>459</v>
      </c>
    </row>
    <row r="83" spans="1:13" s="227" customFormat="1" ht="12.75">
      <c r="A83" s="187" t="s">
        <v>314</v>
      </c>
      <c r="B83" s="347"/>
      <c r="C83" s="170"/>
      <c r="D83" s="348">
        <f>IF(E82="",,'F5A-SC'!G67)</f>
        <v>0.49</v>
      </c>
      <c r="E83" s="256" t="s">
        <v>374</v>
      </c>
      <c r="G83" s="187" t="s">
        <v>314</v>
      </c>
      <c r="H83" s="347"/>
      <c r="I83" s="170"/>
      <c r="J83" s="272">
        <f>IF(K82="",,'F5A-SF'!G74)</f>
        <v>0.49</v>
      </c>
      <c r="K83" s="256" t="s">
        <v>374</v>
      </c>
      <c r="M83" s="349"/>
    </row>
    <row r="84" spans="1:11" s="227" customFormat="1" ht="12.75">
      <c r="A84" s="187" t="s">
        <v>315</v>
      </c>
      <c r="B84" s="347"/>
      <c r="C84" s="170"/>
      <c r="D84" s="788">
        <v>1</v>
      </c>
      <c r="E84" s="257" t="s">
        <v>374</v>
      </c>
      <c r="G84" s="187" t="s">
        <v>315</v>
      </c>
      <c r="H84" s="347"/>
      <c r="I84" s="170"/>
      <c r="J84" s="790">
        <v>1</v>
      </c>
      <c r="K84" s="257" t="s">
        <v>374</v>
      </c>
    </row>
    <row r="85" spans="1:11" s="227" customFormat="1" ht="12.75">
      <c r="A85" s="187" t="s">
        <v>312</v>
      </c>
      <c r="B85" s="347"/>
      <c r="C85" s="170"/>
      <c r="D85" s="789">
        <v>1</v>
      </c>
      <c r="E85" s="257" t="s">
        <v>374</v>
      </c>
      <c r="G85" s="187" t="s">
        <v>312</v>
      </c>
      <c r="H85" s="347"/>
      <c r="I85" s="170"/>
      <c r="J85" s="718">
        <v>1</v>
      </c>
      <c r="K85" s="257" t="s">
        <v>374</v>
      </c>
    </row>
    <row r="86" spans="1:11" s="227" customFormat="1" ht="13.5" thickBot="1">
      <c r="A86" s="350" t="s">
        <v>313</v>
      </c>
      <c r="B86" s="351"/>
      <c r="C86" s="286"/>
      <c r="D86" s="770">
        <f>IF(E82="","",IGV)</f>
        <v>0.8475</v>
      </c>
      <c r="E86" s="258" t="s">
        <v>374</v>
      </c>
      <c r="G86" s="350" t="s">
        <v>313</v>
      </c>
      <c r="H86" s="351"/>
      <c r="I86" s="286"/>
      <c r="J86" s="352">
        <f>IF(K82="","",'F5A-SF'!G75)</f>
        <v>0.8475</v>
      </c>
      <c r="K86" s="258" t="s">
        <v>374</v>
      </c>
    </row>
    <row r="87" s="227" customFormat="1" ht="13.5" thickBot="1"/>
    <row r="88" spans="1:11" s="227" customFormat="1" ht="12.75">
      <c r="A88" s="243" t="s">
        <v>240</v>
      </c>
      <c r="B88" s="244"/>
      <c r="C88" s="244"/>
      <c r="D88" s="245"/>
      <c r="E88" s="246"/>
      <c r="G88" s="243" t="s">
        <v>240</v>
      </c>
      <c r="H88" s="244"/>
      <c r="I88" s="244"/>
      <c r="J88" s="245"/>
      <c r="K88" s="246"/>
    </row>
    <row r="89" spans="1:11" s="227" customFormat="1" ht="12.75">
      <c r="A89" s="353" t="s">
        <v>228</v>
      </c>
      <c r="B89" s="354"/>
      <c r="C89" s="354"/>
      <c r="D89" s="758">
        <v>0.022</v>
      </c>
      <c r="E89" s="277" t="s">
        <v>316</v>
      </c>
      <c r="G89" s="353" t="s">
        <v>228</v>
      </c>
      <c r="H89" s="354"/>
      <c r="I89" s="354"/>
      <c r="J89" s="766">
        <v>0.02</v>
      </c>
      <c r="K89" s="277" t="s">
        <v>316</v>
      </c>
    </row>
    <row r="90" spans="1:11" s="227" customFormat="1" ht="12.75">
      <c r="A90" s="355" t="s">
        <v>382</v>
      </c>
      <c r="B90" s="356"/>
      <c r="C90" s="357"/>
      <c r="D90" s="358"/>
      <c r="E90" s="291"/>
      <c r="G90" s="355" t="s">
        <v>291</v>
      </c>
      <c r="H90" s="357"/>
      <c r="I90" s="359"/>
      <c r="J90" s="358"/>
      <c r="K90" s="291"/>
    </row>
    <row r="91" spans="1:11" s="227" customFormat="1" ht="12.75">
      <c r="A91" s="187" t="s">
        <v>242</v>
      </c>
      <c r="B91" s="347"/>
      <c r="C91" s="170"/>
      <c r="D91" s="719">
        <v>2.8</v>
      </c>
      <c r="E91" s="291" t="s">
        <v>373</v>
      </c>
      <c r="G91" s="187" t="s">
        <v>295</v>
      </c>
      <c r="H91" s="170"/>
      <c r="I91" s="360"/>
      <c r="J91" s="765">
        <v>10</v>
      </c>
      <c r="K91" s="291" t="s">
        <v>372</v>
      </c>
    </row>
    <row r="92" spans="1:11" s="227" customFormat="1" ht="12.75">
      <c r="A92" s="187" t="s">
        <v>214</v>
      </c>
      <c r="B92" s="347"/>
      <c r="C92" s="170"/>
      <c r="D92" s="759">
        <v>25.33</v>
      </c>
      <c r="E92" s="291" t="s">
        <v>220</v>
      </c>
      <c r="G92" s="187" t="s">
        <v>294</v>
      </c>
      <c r="H92" s="170"/>
      <c r="I92" s="360"/>
      <c r="J92" s="713">
        <v>4</v>
      </c>
      <c r="K92" s="291" t="s">
        <v>372</v>
      </c>
    </row>
    <row r="93" spans="1:11" s="227" customFormat="1" ht="12.75">
      <c r="A93" s="187" t="s">
        <v>215</v>
      </c>
      <c r="B93" s="347"/>
      <c r="C93" s="170"/>
      <c r="D93" s="759">
        <v>11.73</v>
      </c>
      <c r="E93" s="291" t="s">
        <v>220</v>
      </c>
      <c r="G93" s="187" t="s">
        <v>242</v>
      </c>
      <c r="H93" s="170"/>
      <c r="I93" s="360"/>
      <c r="J93" s="767">
        <v>2.8</v>
      </c>
      <c r="K93" s="291" t="s">
        <v>373</v>
      </c>
    </row>
    <row r="94" spans="1:11" s="227" customFormat="1" ht="13.5" thickBot="1">
      <c r="A94" s="187" t="s">
        <v>216</v>
      </c>
      <c r="B94" s="347"/>
      <c r="C94" s="170"/>
      <c r="D94" s="759">
        <v>9.17</v>
      </c>
      <c r="E94" s="291" t="s">
        <v>220</v>
      </c>
      <c r="G94" s="350"/>
      <c r="H94" s="286"/>
      <c r="I94" s="361"/>
      <c r="J94" s="362"/>
      <c r="K94" s="345"/>
    </row>
    <row r="95" spans="1:5" s="227" customFormat="1" ht="13.5" thickBot="1">
      <c r="A95" s="187" t="s">
        <v>218</v>
      </c>
      <c r="B95" s="347"/>
      <c r="C95" s="170"/>
      <c r="D95" s="759">
        <v>0.322</v>
      </c>
      <c r="E95" s="291" t="s">
        <v>220</v>
      </c>
    </row>
    <row r="96" spans="1:11" s="227" customFormat="1" ht="12.75">
      <c r="A96" s="187" t="s">
        <v>219</v>
      </c>
      <c r="B96" s="347"/>
      <c r="C96" s="170"/>
      <c r="D96" s="760">
        <v>0.3</v>
      </c>
      <c r="E96" s="291" t="s">
        <v>220</v>
      </c>
      <c r="G96" s="243" t="s">
        <v>221</v>
      </c>
      <c r="H96" s="244"/>
      <c r="I96" s="244"/>
      <c r="J96" s="245"/>
      <c r="K96" s="246"/>
    </row>
    <row r="97" spans="1:11" s="227" customFormat="1" ht="13.5" thickBot="1">
      <c r="A97" s="350" t="s">
        <v>217</v>
      </c>
      <c r="B97" s="351"/>
      <c r="C97" s="286"/>
      <c r="D97" s="363">
        <f>IF(ISERR(D92/7.2/D96+D95*D93+(1-D95)*D94),"",D92/7.2/D96+D95*D93+(1-D95)*D94)</f>
        <v>21.72117185185185</v>
      </c>
      <c r="E97" s="345"/>
      <c r="G97" s="284" t="s">
        <v>415</v>
      </c>
      <c r="H97" s="279"/>
      <c r="I97" s="364"/>
      <c r="J97" s="365"/>
      <c r="K97" s="281"/>
    </row>
    <row r="98" spans="7:11" s="227" customFormat="1" ht="12.75">
      <c r="G98" s="187" t="s">
        <v>292</v>
      </c>
      <c r="H98" s="170"/>
      <c r="I98" s="360"/>
      <c r="J98" s="764">
        <f>IF(MODR="",0,VLOOKUP(region&amp;MODR,MODFOT,2,FALSE))</f>
        <v>8.63</v>
      </c>
      <c r="K98" s="366" t="s">
        <v>360</v>
      </c>
    </row>
    <row r="99" spans="7:11" s="227" customFormat="1" ht="13.5" thickBot="1">
      <c r="G99" s="187" t="s">
        <v>446</v>
      </c>
      <c r="H99" s="170"/>
      <c r="I99" s="360"/>
      <c r="J99" s="782">
        <v>327.93</v>
      </c>
      <c r="K99" s="366" t="s">
        <v>359</v>
      </c>
    </row>
    <row r="100" spans="1:11" s="227" customFormat="1" ht="12.75">
      <c r="A100" s="243" t="s">
        <v>221</v>
      </c>
      <c r="B100" s="244"/>
      <c r="C100" s="244"/>
      <c r="D100" s="245"/>
      <c r="E100" s="246"/>
      <c r="G100" s="189" t="s">
        <v>358</v>
      </c>
      <c r="H100" s="169"/>
      <c r="I100" s="367"/>
      <c r="J100" s="368">
        <f>IF(J99="",,J99*J98/100)</f>
        <v>28.300359000000004</v>
      </c>
      <c r="K100" s="369"/>
    </row>
    <row r="101" spans="1:11" s="227" customFormat="1" ht="12.75">
      <c r="A101" s="370" t="s">
        <v>383</v>
      </c>
      <c r="B101" s="282"/>
      <c r="C101" s="371"/>
      <c r="D101" s="181"/>
      <c r="E101" s="283"/>
      <c r="G101" s="355" t="s">
        <v>416</v>
      </c>
      <c r="H101" s="170"/>
      <c r="I101" s="170"/>
      <c r="J101" s="272"/>
      <c r="K101" s="291"/>
    </row>
    <row r="102" spans="1:11" s="227" customFormat="1" ht="12.75">
      <c r="A102" s="187" t="s">
        <v>387</v>
      </c>
      <c r="B102" s="347"/>
      <c r="C102" s="170"/>
      <c r="D102" s="759">
        <v>43.18</v>
      </c>
      <c r="E102" s="366" t="s">
        <v>384</v>
      </c>
      <c r="G102" s="187" t="s">
        <v>292</v>
      </c>
      <c r="H102" s="170"/>
      <c r="I102" s="170"/>
      <c r="J102" s="764">
        <f>IF(ModUG="",0,VLOOKUP(region&amp;ModUG,MODFOT,2,FALSE))</f>
        <v>14.09</v>
      </c>
      <c r="K102" s="366" t="s">
        <v>360</v>
      </c>
    </row>
    <row r="103" spans="1:11" s="227" customFormat="1" ht="12.75">
      <c r="A103" s="187" t="s">
        <v>222</v>
      </c>
      <c r="B103" s="347"/>
      <c r="C103" s="170"/>
      <c r="D103" s="759">
        <v>3.05</v>
      </c>
      <c r="E103" s="366" t="s">
        <v>384</v>
      </c>
      <c r="G103" s="187" t="s">
        <v>446</v>
      </c>
      <c r="H103" s="170"/>
      <c r="I103" s="170"/>
      <c r="J103" s="782">
        <v>301.77</v>
      </c>
      <c r="K103" s="366" t="s">
        <v>359</v>
      </c>
    </row>
    <row r="104" spans="1:11" s="227" customFormat="1" ht="13.5" thickBot="1">
      <c r="A104" s="350" t="s">
        <v>156</v>
      </c>
      <c r="B104" s="351"/>
      <c r="C104" s="286"/>
      <c r="D104" s="761">
        <v>1.64</v>
      </c>
      <c r="E104" s="372" t="s">
        <v>384</v>
      </c>
      <c r="G104" s="350" t="s">
        <v>358</v>
      </c>
      <c r="H104" s="286"/>
      <c r="I104" s="286"/>
      <c r="J104" s="373">
        <f>IF(J103="",,J103*J102/100)</f>
        <v>42.519393</v>
      </c>
      <c r="K104" s="345"/>
    </row>
    <row r="105" s="227" customFormat="1" ht="13.5" thickBot="1"/>
    <row r="106" spans="1:11" s="227" customFormat="1" ht="13.5" thickBot="1">
      <c r="A106" s="259" t="s">
        <v>279</v>
      </c>
      <c r="B106" s="260"/>
      <c r="C106" s="260"/>
      <c r="D106" s="261"/>
      <c r="E106" s="720" t="s">
        <v>278</v>
      </c>
      <c r="G106" s="259" t="s">
        <v>279</v>
      </c>
      <c r="H106" s="260"/>
      <c r="I106" s="260"/>
      <c r="J106" s="261"/>
      <c r="K106" s="720" t="s">
        <v>278</v>
      </c>
    </row>
    <row r="107" spans="1:11" s="227" customFormat="1" ht="12.75">
      <c r="A107" s="792" t="s">
        <v>280</v>
      </c>
      <c r="B107" s="793"/>
      <c r="C107" s="793"/>
      <c r="D107" s="794"/>
      <c r="E107" s="795"/>
      <c r="G107" s="792" t="s">
        <v>280</v>
      </c>
      <c r="H107" s="793"/>
      <c r="I107" s="793"/>
      <c r="J107" s="794"/>
      <c r="K107" s="795"/>
    </row>
    <row r="108" spans="1:11" s="227" customFormat="1" ht="12.75">
      <c r="A108" s="185" t="s">
        <v>460</v>
      </c>
      <c r="B108" s="371"/>
      <c r="C108" s="371"/>
      <c r="D108" s="796">
        <v>0.1</v>
      </c>
      <c r="E108" s="283" t="s">
        <v>67</v>
      </c>
      <c r="G108" s="185" t="s">
        <v>460</v>
      </c>
      <c r="H108" s="371"/>
      <c r="I108" s="371"/>
      <c r="J108" s="796">
        <v>0.1</v>
      </c>
      <c r="K108" s="283" t="s">
        <v>67</v>
      </c>
    </row>
    <row r="109" spans="1:11" s="227" customFormat="1" ht="12.75">
      <c r="A109" s="187" t="s">
        <v>49</v>
      </c>
      <c r="B109" s="347"/>
      <c r="C109" s="170"/>
      <c r="D109" s="783"/>
      <c r="E109" s="262" t="s">
        <v>67</v>
      </c>
      <c r="G109" s="187" t="s">
        <v>49</v>
      </c>
      <c r="H109" s="347"/>
      <c r="I109" s="170"/>
      <c r="J109" s="783"/>
      <c r="K109" s="262" t="s">
        <v>67</v>
      </c>
    </row>
    <row r="110" spans="1:11" s="227" customFormat="1" ht="12.75">
      <c r="A110" s="187" t="s">
        <v>224</v>
      </c>
      <c r="B110" s="347"/>
      <c r="C110" s="170"/>
      <c r="D110" s="783"/>
      <c r="E110" s="262" t="s">
        <v>67</v>
      </c>
      <c r="G110" s="187" t="s">
        <v>224</v>
      </c>
      <c r="H110" s="347"/>
      <c r="I110" s="170"/>
      <c r="J110" s="783"/>
      <c r="K110" s="262" t="s">
        <v>67</v>
      </c>
    </row>
    <row r="111" spans="1:11" s="227" customFormat="1" ht="12.75">
      <c r="A111" s="187" t="s">
        <v>52</v>
      </c>
      <c r="B111" s="347"/>
      <c r="C111" s="170"/>
      <c r="D111" s="783"/>
      <c r="E111" s="262" t="s">
        <v>67</v>
      </c>
      <c r="G111" s="187" t="s">
        <v>52</v>
      </c>
      <c r="H111" s="347"/>
      <c r="I111" s="170"/>
      <c r="J111" s="783"/>
      <c r="K111" s="262" t="s">
        <v>67</v>
      </c>
    </row>
    <row r="112" spans="1:11" s="227" customFormat="1" ht="13.5" thickBot="1">
      <c r="A112" s="350" t="s">
        <v>53</v>
      </c>
      <c r="B112" s="351"/>
      <c r="C112" s="286"/>
      <c r="D112" s="784"/>
      <c r="E112" s="263" t="s">
        <v>67</v>
      </c>
      <c r="G112" s="350" t="s">
        <v>53</v>
      </c>
      <c r="H112" s="351"/>
      <c r="I112" s="286"/>
      <c r="J112" s="784"/>
      <c r="K112" s="263" t="s">
        <v>67</v>
      </c>
    </row>
    <row r="113" s="227" customFormat="1" ht="13.5" thickBot="1"/>
    <row r="114" spans="1:11" s="227" customFormat="1" ht="12.75">
      <c r="A114" s="243" t="s">
        <v>239</v>
      </c>
      <c r="B114" s="244"/>
      <c r="C114" s="244"/>
      <c r="D114" s="245"/>
      <c r="E114" s="246"/>
      <c r="G114" s="243" t="s">
        <v>239</v>
      </c>
      <c r="H114" s="244"/>
      <c r="I114" s="244"/>
      <c r="J114" s="245"/>
      <c r="K114" s="246"/>
    </row>
    <row r="115" spans="1:11" s="227" customFormat="1" ht="12.75">
      <c r="A115" s="374" t="s">
        <v>238</v>
      </c>
      <c r="B115" s="375"/>
      <c r="C115" s="375"/>
      <c r="D115" s="719">
        <v>546</v>
      </c>
      <c r="E115" s="281" t="s">
        <v>258</v>
      </c>
      <c r="G115" s="187" t="s">
        <v>440</v>
      </c>
      <c r="H115" s="170"/>
      <c r="I115" s="170"/>
      <c r="J115" s="719">
        <v>537</v>
      </c>
      <c r="K115" s="291" t="s">
        <v>258</v>
      </c>
    </row>
    <row r="116" spans="1:11" s="227" customFormat="1" ht="12.75">
      <c r="A116" s="187" t="s">
        <v>241</v>
      </c>
      <c r="B116" s="170"/>
      <c r="C116" s="170"/>
      <c r="D116" s="718">
        <v>162</v>
      </c>
      <c r="E116" s="291" t="s">
        <v>258</v>
      </c>
      <c r="G116" s="187" t="s">
        <v>441</v>
      </c>
      <c r="H116" s="170"/>
      <c r="I116" s="170"/>
      <c r="J116" s="718">
        <v>9</v>
      </c>
      <c r="K116" s="291" t="s">
        <v>258</v>
      </c>
    </row>
    <row r="117" spans="1:11" s="227" customFormat="1" ht="12.75">
      <c r="A117" s="187" t="s">
        <v>267</v>
      </c>
      <c r="B117" s="170"/>
      <c r="C117" s="170"/>
      <c r="D117" s="272">
        <f>SUM(D118:D120)</f>
        <v>28.11</v>
      </c>
      <c r="E117" s="291" t="s">
        <v>258</v>
      </c>
      <c r="F117" s="376">
        <f>SUM(F118:F120)</f>
        <v>1</v>
      </c>
      <c r="G117" s="187" t="s">
        <v>241</v>
      </c>
      <c r="H117" s="170"/>
      <c r="I117" s="170"/>
      <c r="J117" s="272">
        <f>J25</f>
        <v>0</v>
      </c>
      <c r="K117" s="291"/>
    </row>
    <row r="118" spans="1:11" s="227" customFormat="1" ht="12.75">
      <c r="A118" s="377" t="s">
        <v>268</v>
      </c>
      <c r="B118" s="170"/>
      <c r="C118" s="170"/>
      <c r="D118" s="719"/>
      <c r="E118" s="291" t="s">
        <v>258</v>
      </c>
      <c r="F118" s="376">
        <f>IF(D118=0,0,1)</f>
        <v>0</v>
      </c>
      <c r="G118" s="187" t="s">
        <v>444</v>
      </c>
      <c r="H118" s="170"/>
      <c r="I118" s="170"/>
      <c r="J118" s="272">
        <f>SUM(J115:J117)</f>
        <v>546</v>
      </c>
      <c r="K118" s="291"/>
    </row>
    <row r="119" spans="1:11" s="227" customFormat="1" ht="12.75">
      <c r="A119" s="377" t="s">
        <v>269</v>
      </c>
      <c r="B119" s="170"/>
      <c r="C119" s="170"/>
      <c r="D119" s="759"/>
      <c r="E119" s="291" t="s">
        <v>258</v>
      </c>
      <c r="F119" s="376">
        <f>IF(D119=0,0,1)</f>
        <v>0</v>
      </c>
      <c r="G119" s="187"/>
      <c r="H119" s="170"/>
      <c r="I119" s="170"/>
      <c r="J119" s="272"/>
      <c r="K119" s="291"/>
    </row>
    <row r="120" spans="1:11" s="227" customFormat="1" ht="12.75">
      <c r="A120" s="377" t="s">
        <v>270</v>
      </c>
      <c r="B120" s="170"/>
      <c r="C120" s="170"/>
      <c r="D120" s="759">
        <v>28.11</v>
      </c>
      <c r="E120" s="291" t="s">
        <v>258</v>
      </c>
      <c r="F120" s="376">
        <f>IF(D120=0,0,1)</f>
        <v>1</v>
      </c>
      <c r="G120" s="377"/>
      <c r="H120" s="170"/>
      <c r="I120" s="170"/>
      <c r="J120" s="272"/>
      <c r="K120" s="291"/>
    </row>
    <row r="121" spans="1:11" s="227" customFormat="1" ht="12.75">
      <c r="A121" s="187" t="s">
        <v>274</v>
      </c>
      <c r="B121" s="170"/>
      <c r="C121" s="170"/>
      <c r="D121" s="759">
        <v>268</v>
      </c>
      <c r="E121" s="291" t="s">
        <v>258</v>
      </c>
      <c r="F121" s="376"/>
      <c r="G121" s="187"/>
      <c r="H121" s="170"/>
      <c r="I121" s="170"/>
      <c r="J121" s="272"/>
      <c r="K121" s="291"/>
    </row>
    <row r="122" spans="1:11" s="227" customFormat="1" ht="13.5" thickBot="1">
      <c r="A122" s="378" t="s">
        <v>273</v>
      </c>
      <c r="B122" s="286"/>
      <c r="C122" s="286"/>
      <c r="D122" s="761">
        <v>31</v>
      </c>
      <c r="E122" s="345" t="s">
        <v>258</v>
      </c>
      <c r="G122" s="378"/>
      <c r="H122" s="286"/>
      <c r="I122" s="286"/>
      <c r="J122" s="362"/>
      <c r="K122" s="345"/>
    </row>
    <row r="123" s="227" customFormat="1" ht="13.5" thickBot="1"/>
    <row r="124" spans="1:11" s="227" customFormat="1" ht="12.75">
      <c r="A124" s="243" t="s">
        <v>275</v>
      </c>
      <c r="B124" s="244"/>
      <c r="C124" s="244"/>
      <c r="D124" s="264" t="s">
        <v>276</v>
      </c>
      <c r="E124" s="265" t="s">
        <v>277</v>
      </c>
      <c r="G124" s="243" t="s">
        <v>275</v>
      </c>
      <c r="H124" s="244"/>
      <c r="I124" s="244"/>
      <c r="J124" s="264" t="s">
        <v>276</v>
      </c>
      <c r="K124" s="265" t="s">
        <v>277</v>
      </c>
    </row>
    <row r="125" spans="1:11" s="227" customFormat="1" ht="12.75">
      <c r="A125" s="374" t="s">
        <v>41</v>
      </c>
      <c r="B125" s="375"/>
      <c r="C125" s="375"/>
      <c r="D125" s="721">
        <v>-0.1</v>
      </c>
      <c r="E125" s="722">
        <v>0.1</v>
      </c>
      <c r="G125" s="374" t="s">
        <v>296</v>
      </c>
      <c r="H125" s="375"/>
      <c r="I125" s="375"/>
      <c r="J125" s="721">
        <v>-0.1</v>
      </c>
      <c r="K125" s="722">
        <v>0.1</v>
      </c>
    </row>
    <row r="126" spans="1:11" s="227" customFormat="1" ht="12.75">
      <c r="A126" s="187" t="s">
        <v>176</v>
      </c>
      <c r="B126" s="170"/>
      <c r="C126" s="170"/>
      <c r="D126" s="723">
        <v>-0.1</v>
      </c>
      <c r="E126" s="724">
        <v>0.1</v>
      </c>
      <c r="G126" s="187" t="s">
        <v>176</v>
      </c>
      <c r="H126" s="170"/>
      <c r="I126" s="170"/>
      <c r="J126" s="723">
        <v>-0.1</v>
      </c>
      <c r="K126" s="724">
        <v>0.1</v>
      </c>
    </row>
    <row r="127" spans="1:11" s="227" customFormat="1" ht="12.75">
      <c r="A127" s="187" t="s">
        <v>6</v>
      </c>
      <c r="B127" s="170"/>
      <c r="C127" s="170"/>
      <c r="D127" s="723">
        <v>-0.1</v>
      </c>
      <c r="E127" s="724">
        <v>0.1</v>
      </c>
      <c r="G127" s="187" t="s">
        <v>6</v>
      </c>
      <c r="H127" s="170"/>
      <c r="I127" s="170"/>
      <c r="J127" s="723">
        <v>-0.1</v>
      </c>
      <c r="K127" s="724">
        <v>0.1</v>
      </c>
    </row>
    <row r="128" spans="1:11" s="227" customFormat="1" ht="12.75">
      <c r="A128" s="248" t="s">
        <v>65</v>
      </c>
      <c r="B128" s="170"/>
      <c r="C128" s="170"/>
      <c r="D128" s="723">
        <v>-0.1</v>
      </c>
      <c r="E128" s="724">
        <v>0.1</v>
      </c>
      <c r="G128" s="248" t="s">
        <v>65</v>
      </c>
      <c r="H128" s="170"/>
      <c r="I128" s="170"/>
      <c r="J128" s="723">
        <v>-0.1</v>
      </c>
      <c r="K128" s="724">
        <v>0.1</v>
      </c>
    </row>
    <row r="129" spans="1:11" s="227" customFormat="1" ht="12.75">
      <c r="A129" s="248" t="s">
        <v>13</v>
      </c>
      <c r="B129" s="170"/>
      <c r="C129" s="170"/>
      <c r="D129" s="723">
        <v>-0.1</v>
      </c>
      <c r="E129" s="724">
        <v>0.1</v>
      </c>
      <c r="G129" s="248" t="s">
        <v>13</v>
      </c>
      <c r="H129" s="170"/>
      <c r="I129" s="170"/>
      <c r="J129" s="723">
        <v>-0.1</v>
      </c>
      <c r="K129" s="724">
        <v>0.1</v>
      </c>
    </row>
    <row r="130" spans="1:11" s="227" customFormat="1" ht="12.75">
      <c r="A130" s="248" t="s">
        <v>177</v>
      </c>
      <c r="B130" s="170"/>
      <c r="C130" s="170"/>
      <c r="D130" s="723">
        <v>-0.1</v>
      </c>
      <c r="E130" s="724">
        <v>0.1</v>
      </c>
      <c r="G130" s="248" t="s">
        <v>177</v>
      </c>
      <c r="H130" s="170"/>
      <c r="I130" s="170"/>
      <c r="J130" s="723">
        <v>-0.1</v>
      </c>
      <c r="K130" s="724">
        <v>0.1</v>
      </c>
    </row>
    <row r="131" spans="1:11" s="227" customFormat="1" ht="13.5" thickBot="1">
      <c r="A131" s="350" t="s">
        <v>178</v>
      </c>
      <c r="B131" s="286"/>
      <c r="C131" s="286"/>
      <c r="D131" s="725">
        <v>-0.1</v>
      </c>
      <c r="E131" s="726">
        <v>0.1</v>
      </c>
      <c r="G131" s="350" t="s">
        <v>178</v>
      </c>
      <c r="H131" s="286"/>
      <c r="I131" s="286"/>
      <c r="J131" s="725">
        <v>-0.1</v>
      </c>
      <c r="K131" s="726">
        <v>0.1</v>
      </c>
    </row>
    <row r="132" spans="7:11" s="227" customFormat="1" ht="13.5" thickBot="1">
      <c r="G132" s="170"/>
      <c r="H132" s="170"/>
      <c r="I132" s="170"/>
      <c r="J132" s="170"/>
      <c r="K132" s="170"/>
    </row>
    <row r="133" spans="1:11" s="227" customFormat="1" ht="12.75">
      <c r="A133" s="818" t="s">
        <v>371</v>
      </c>
      <c r="B133" s="819"/>
      <c r="C133" s="819"/>
      <c r="D133" s="819"/>
      <c r="E133" s="820"/>
      <c r="G133" s="818" t="s">
        <v>371</v>
      </c>
      <c r="H133" s="819"/>
      <c r="I133" s="819"/>
      <c r="J133" s="819"/>
      <c r="K133" s="820"/>
    </row>
    <row r="134" spans="1:11" s="227" customFormat="1" ht="12.75">
      <c r="A134" s="815" t="s">
        <v>17</v>
      </c>
      <c r="B134" s="816"/>
      <c r="C134" s="816"/>
      <c r="D134" s="816"/>
      <c r="E134" s="817"/>
      <c r="G134" s="815" t="s">
        <v>17</v>
      </c>
      <c r="H134" s="816"/>
      <c r="I134" s="816"/>
      <c r="J134" s="816"/>
      <c r="K134" s="817"/>
    </row>
    <row r="135" spans="1:11" s="227" customFormat="1" ht="24.75" customHeight="1">
      <c r="A135" s="727" t="s">
        <v>457</v>
      </c>
      <c r="B135" s="762"/>
      <c r="C135" s="762"/>
      <c r="D135" s="762"/>
      <c r="E135" s="763"/>
      <c r="G135" s="727" t="s">
        <v>457</v>
      </c>
      <c r="H135" s="728"/>
      <c r="I135" s="728"/>
      <c r="J135" s="728"/>
      <c r="K135" s="729"/>
    </row>
    <row r="136" spans="1:11" s="227" customFormat="1" ht="12.75">
      <c r="A136" s="815" t="s">
        <v>18</v>
      </c>
      <c r="B136" s="816"/>
      <c r="C136" s="816"/>
      <c r="D136" s="816"/>
      <c r="E136" s="817"/>
      <c r="G136" s="815" t="s">
        <v>18</v>
      </c>
      <c r="H136" s="816"/>
      <c r="I136" s="816"/>
      <c r="J136" s="816"/>
      <c r="K136" s="817"/>
    </row>
    <row r="137" spans="1:11" s="227" customFormat="1" ht="32.25" customHeight="1">
      <c r="A137" s="727" t="s">
        <v>457</v>
      </c>
      <c r="B137" s="728"/>
      <c r="C137" s="728"/>
      <c r="D137" s="728"/>
      <c r="E137" s="729"/>
      <c r="G137" s="727" t="s">
        <v>457</v>
      </c>
      <c r="H137" s="728"/>
      <c r="I137" s="728"/>
      <c r="J137" s="728"/>
      <c r="K137" s="729"/>
    </row>
    <row r="138" spans="1:11" s="227" customFormat="1" ht="12.75">
      <c r="A138" s="815" t="s">
        <v>165</v>
      </c>
      <c r="B138" s="816"/>
      <c r="C138" s="816"/>
      <c r="D138" s="816"/>
      <c r="E138" s="817"/>
      <c r="G138" s="815" t="s">
        <v>165</v>
      </c>
      <c r="H138" s="816"/>
      <c r="I138" s="816"/>
      <c r="J138" s="816"/>
      <c r="K138" s="817"/>
    </row>
    <row r="139" spans="1:11" s="227" customFormat="1" ht="27.75" customHeight="1" thickBot="1">
      <c r="A139" s="743" t="s">
        <v>458</v>
      </c>
      <c r="B139" s="730"/>
      <c r="C139" s="730"/>
      <c r="D139" s="730"/>
      <c r="E139" s="731"/>
      <c r="G139" s="743" t="s">
        <v>458</v>
      </c>
      <c r="H139" s="730"/>
      <c r="I139" s="730"/>
      <c r="J139" s="730"/>
      <c r="K139" s="731"/>
    </row>
    <row r="140" spans="7:11" s="227" customFormat="1" ht="12.75">
      <c r="G140" s="170"/>
      <c r="H140" s="170"/>
      <c r="I140" s="170"/>
      <c r="J140" s="170"/>
      <c r="K140" s="170"/>
    </row>
    <row r="141" spans="1:11" s="227" customFormat="1" ht="13.5" hidden="1" thickBot="1">
      <c r="A141" s="259" t="s">
        <v>369</v>
      </c>
      <c r="B141" s="260"/>
      <c r="C141" s="260"/>
      <c r="D141" s="908"/>
      <c r="E141" s="379" t="s">
        <v>370</v>
      </c>
      <c r="G141" s="259" t="s">
        <v>369</v>
      </c>
      <c r="H141" s="260"/>
      <c r="I141" s="260"/>
      <c r="J141" s="908"/>
      <c r="K141" s="379" t="s">
        <v>370</v>
      </c>
    </row>
    <row r="142" spans="7:11" s="227" customFormat="1" ht="12.75">
      <c r="G142" s="170"/>
      <c r="H142" s="170"/>
      <c r="I142" s="170"/>
      <c r="J142" s="170"/>
      <c r="K142" s="170"/>
    </row>
    <row r="143" spans="7:11" s="227" customFormat="1" ht="12.75">
      <c r="G143" s="170"/>
      <c r="H143" s="170"/>
      <c r="I143" s="170"/>
      <c r="J143" s="170"/>
      <c r="K143" s="170"/>
    </row>
    <row r="144" spans="7:11" s="227" customFormat="1" ht="12.75">
      <c r="G144" s="170"/>
      <c r="H144" s="170"/>
      <c r="I144" s="170"/>
      <c r="J144" s="170"/>
      <c r="K144" s="170"/>
    </row>
    <row r="145" spans="7:11" s="227" customFormat="1" ht="22.5" customHeight="1">
      <c r="G145" s="170"/>
      <c r="H145" s="170"/>
      <c r="I145" s="170"/>
      <c r="J145" s="170"/>
      <c r="K145" s="170"/>
    </row>
    <row r="146" spans="7:11" s="227" customFormat="1" ht="12.75">
      <c r="G146" s="170"/>
      <c r="H146" s="170"/>
      <c r="I146" s="170"/>
      <c r="J146" s="170"/>
      <c r="K146" s="170"/>
    </row>
    <row r="147" spans="7:11" s="227" customFormat="1" ht="25.5" customHeight="1">
      <c r="G147" s="170"/>
      <c r="H147" s="170"/>
      <c r="I147" s="170"/>
      <c r="J147" s="170"/>
      <c r="K147" s="170"/>
    </row>
    <row r="148" spans="7:11" s="227" customFormat="1" ht="12.75">
      <c r="G148" s="170"/>
      <c r="H148" s="170"/>
      <c r="I148" s="170"/>
      <c r="J148" s="170"/>
      <c r="K148" s="170"/>
    </row>
    <row r="149" spans="7:11" s="227" customFormat="1" ht="26.25" customHeight="1">
      <c r="G149" s="170"/>
      <c r="H149" s="170"/>
      <c r="I149" s="170"/>
      <c r="J149" s="170"/>
      <c r="K149" s="170"/>
    </row>
    <row r="150" spans="7:11" s="227" customFormat="1" ht="12.75">
      <c r="G150" s="170"/>
      <c r="H150" s="170"/>
      <c r="I150" s="170"/>
      <c r="J150" s="170"/>
      <c r="K150" s="170"/>
    </row>
    <row r="151" spans="7:11" s="227" customFormat="1" ht="12.75">
      <c r="G151" s="170"/>
      <c r="H151" s="170"/>
      <c r="I151" s="170"/>
      <c r="J151" s="170"/>
      <c r="K151" s="170"/>
    </row>
    <row r="152" spans="7:11" s="227" customFormat="1" ht="12.75">
      <c r="G152" s="170"/>
      <c r="H152" s="170"/>
      <c r="I152" s="170"/>
      <c r="J152" s="170"/>
      <c r="K152" s="170"/>
    </row>
    <row r="153" spans="7:11" s="227" customFormat="1" ht="12.75">
      <c r="G153" s="170"/>
      <c r="H153" s="170"/>
      <c r="I153" s="170"/>
      <c r="J153" s="170"/>
      <c r="K153" s="170"/>
    </row>
    <row r="154" spans="7:11" s="227" customFormat="1" ht="12.75">
      <c r="G154" s="170"/>
      <c r="H154" s="170"/>
      <c r="I154" s="170"/>
      <c r="J154" s="170"/>
      <c r="K154" s="170"/>
    </row>
    <row r="155" spans="7:11" s="227" customFormat="1" ht="12.75">
      <c r="G155" s="170"/>
      <c r="H155" s="170"/>
      <c r="I155" s="170"/>
      <c r="J155" s="170"/>
      <c r="K155" s="170"/>
    </row>
    <row r="156" spans="7:11" s="227" customFormat="1" ht="12.75">
      <c r="G156" s="170"/>
      <c r="H156" s="170"/>
      <c r="I156" s="170"/>
      <c r="J156" s="170"/>
      <c r="K156" s="170"/>
    </row>
    <row r="157" spans="7:11" s="227" customFormat="1" ht="12.75">
      <c r="G157" s="170"/>
      <c r="H157" s="170"/>
      <c r="I157" s="170"/>
      <c r="J157" s="170"/>
      <c r="K157" s="170"/>
    </row>
    <row r="158" spans="7:11" s="227" customFormat="1" ht="12.75">
      <c r="G158" s="170"/>
      <c r="H158" s="170"/>
      <c r="I158" s="170"/>
      <c r="J158" s="170"/>
      <c r="K158" s="170"/>
    </row>
    <row r="159" spans="7:11" s="227" customFormat="1" ht="12.75">
      <c r="G159" s="170"/>
      <c r="H159" s="170"/>
      <c r="I159" s="170"/>
      <c r="J159" s="170"/>
      <c r="K159" s="170"/>
    </row>
    <row r="160" spans="7:11" s="227" customFormat="1" ht="12.75">
      <c r="G160" s="170"/>
      <c r="H160" s="170"/>
      <c r="I160" s="170"/>
      <c r="J160" s="170"/>
      <c r="K160" s="170"/>
    </row>
    <row r="161" spans="7:11" s="227" customFormat="1" ht="12.75">
      <c r="G161" s="170"/>
      <c r="H161" s="170"/>
      <c r="I161" s="170"/>
      <c r="J161" s="170"/>
      <c r="K161" s="170"/>
    </row>
    <row r="162" spans="7:11" s="227" customFormat="1" ht="12.75">
      <c r="G162" s="170"/>
      <c r="H162" s="170"/>
      <c r="I162" s="170"/>
      <c r="J162" s="170"/>
      <c r="K162" s="170"/>
    </row>
    <row r="163" spans="7:11" s="227" customFormat="1" ht="12.75">
      <c r="G163" s="170"/>
      <c r="H163" s="170"/>
      <c r="I163" s="170"/>
      <c r="J163" s="170"/>
      <c r="K163" s="170"/>
    </row>
    <row r="164" spans="7:11" s="227" customFormat="1" ht="12.75">
      <c r="G164" s="170"/>
      <c r="H164" s="170"/>
      <c r="I164" s="170"/>
      <c r="J164" s="170"/>
      <c r="K164" s="170"/>
    </row>
    <row r="165" spans="7:11" s="227" customFormat="1" ht="12.75">
      <c r="G165" s="170"/>
      <c r="H165" s="170"/>
      <c r="I165" s="170"/>
      <c r="J165" s="170"/>
      <c r="K165" s="170"/>
    </row>
    <row r="166" spans="7:11" s="227" customFormat="1" ht="12.75">
      <c r="G166" s="170"/>
      <c r="H166" s="170"/>
      <c r="I166" s="170"/>
      <c r="J166" s="170"/>
      <c r="K166" s="170"/>
    </row>
    <row r="167" spans="7:11" s="227" customFormat="1" ht="12.75">
      <c r="G167" s="170"/>
      <c r="H167" s="170"/>
      <c r="I167" s="170"/>
      <c r="J167" s="170"/>
      <c r="K167" s="170"/>
    </row>
    <row r="168" spans="7:11" s="227" customFormat="1" ht="12.75">
      <c r="G168" s="170"/>
      <c r="H168" s="170"/>
      <c r="I168" s="170"/>
      <c r="J168" s="170"/>
      <c r="K168" s="170"/>
    </row>
    <row r="169" spans="7:11" s="227" customFormat="1" ht="12.75">
      <c r="G169" s="170"/>
      <c r="H169" s="170"/>
      <c r="I169" s="170"/>
      <c r="J169" s="170"/>
      <c r="K169" s="170"/>
    </row>
    <row r="170" spans="7:11" s="227" customFormat="1" ht="12.75">
      <c r="G170" s="170"/>
      <c r="H170" s="170"/>
      <c r="I170" s="170"/>
      <c r="J170" s="170"/>
      <c r="K170" s="170"/>
    </row>
    <row r="171" spans="7:11" s="227" customFormat="1" ht="12.75">
      <c r="G171" s="170"/>
      <c r="H171" s="170"/>
      <c r="I171" s="170"/>
      <c r="J171" s="170"/>
      <c r="K171" s="170"/>
    </row>
    <row r="172" spans="7:11" s="227" customFormat="1" ht="12.75">
      <c r="G172" s="170"/>
      <c r="H172" s="170"/>
      <c r="I172" s="170"/>
      <c r="J172" s="170"/>
      <c r="K172" s="170"/>
    </row>
    <row r="173" spans="7:11" s="227" customFormat="1" ht="12.75">
      <c r="G173" s="170"/>
      <c r="H173" s="170"/>
      <c r="I173" s="170"/>
      <c r="J173" s="170"/>
      <c r="K173" s="170"/>
    </row>
    <row r="174" spans="7:11" s="227" customFormat="1" ht="12.75">
      <c r="G174" s="170"/>
      <c r="H174" s="170"/>
      <c r="I174" s="170"/>
      <c r="J174" s="170"/>
      <c r="K174" s="170"/>
    </row>
    <row r="175" spans="7:11" s="227" customFormat="1" ht="12.75">
      <c r="G175" s="170"/>
      <c r="H175" s="170"/>
      <c r="I175" s="170"/>
      <c r="J175" s="170"/>
      <c r="K175" s="170"/>
    </row>
    <row r="176" spans="7:11" s="227" customFormat="1" ht="12.75">
      <c r="G176" s="170"/>
      <c r="H176" s="170"/>
      <c r="I176" s="170"/>
      <c r="J176" s="170"/>
      <c r="K176" s="170"/>
    </row>
    <row r="177" spans="7:11" s="227" customFormat="1" ht="12.75">
      <c r="G177" s="170"/>
      <c r="H177" s="170"/>
      <c r="I177" s="170"/>
      <c r="J177" s="170"/>
      <c r="K177" s="170"/>
    </row>
    <row r="178" spans="7:11" s="227" customFormat="1" ht="12.75">
      <c r="G178" s="170"/>
      <c r="H178" s="170"/>
      <c r="I178" s="170"/>
      <c r="J178" s="170"/>
      <c r="K178" s="170"/>
    </row>
    <row r="179" spans="7:11" s="227" customFormat="1" ht="12.75">
      <c r="G179" s="170"/>
      <c r="H179" s="170"/>
      <c r="I179" s="170"/>
      <c r="J179" s="170"/>
      <c r="K179" s="170"/>
    </row>
    <row r="180" spans="7:11" s="227" customFormat="1" ht="12.75">
      <c r="G180" s="170"/>
      <c r="H180" s="170"/>
      <c r="I180" s="170"/>
      <c r="J180" s="170"/>
      <c r="K180" s="170"/>
    </row>
    <row r="181" spans="7:11" s="227" customFormat="1" ht="12.75">
      <c r="G181" s="170"/>
      <c r="H181" s="170"/>
      <c r="I181" s="170"/>
      <c r="J181" s="170"/>
      <c r="K181" s="170"/>
    </row>
    <row r="182" spans="7:11" s="227" customFormat="1" ht="12.75">
      <c r="G182" s="170"/>
      <c r="H182" s="170"/>
      <c r="I182" s="170"/>
      <c r="J182" s="170"/>
      <c r="K182" s="170"/>
    </row>
    <row r="183" spans="7:11" s="227" customFormat="1" ht="12.75">
      <c r="G183" s="170"/>
      <c r="H183" s="170"/>
      <c r="I183" s="170"/>
      <c r="J183" s="170"/>
      <c r="K183" s="170"/>
    </row>
    <row r="184" spans="7:11" s="227" customFormat="1" ht="12.75">
      <c r="G184" s="170"/>
      <c r="H184" s="170"/>
      <c r="I184" s="170"/>
      <c r="J184" s="170"/>
      <c r="K184" s="170"/>
    </row>
    <row r="185" spans="7:11" s="227" customFormat="1" ht="12.75">
      <c r="G185" s="170"/>
      <c r="H185" s="170"/>
      <c r="I185" s="170"/>
      <c r="J185" s="170"/>
      <c r="K185" s="170"/>
    </row>
  </sheetData>
  <sheetProtection password="FFA0" sheet="1" objects="1" scenarios="1" formatCells="0"/>
  <mergeCells count="15">
    <mergeCell ref="A138:E138"/>
    <mergeCell ref="A133:E133"/>
    <mergeCell ref="A134:E134"/>
    <mergeCell ref="G138:K138"/>
    <mergeCell ref="A136:E136"/>
    <mergeCell ref="G133:K133"/>
    <mergeCell ref="G134:K134"/>
    <mergeCell ref="G136:K136"/>
    <mergeCell ref="A28:D28"/>
    <mergeCell ref="E28:E29"/>
    <mergeCell ref="D16:E16"/>
    <mergeCell ref="G30:I30"/>
    <mergeCell ref="G42:I42"/>
    <mergeCell ref="I1:K1"/>
    <mergeCell ref="A3:K3"/>
  </mergeCells>
  <dataValidations count="22">
    <dataValidation type="list" allowBlank="1" showInputMessage="1" showErrorMessage="1" errorTitle="Facto de Carga" error="La cifra debe estar entre 10 y 50%" sqref="J23 D24">
      <formula1>"SI,NO"</formula1>
    </dataValidation>
    <dataValidation type="decimal" allowBlank="1" showInputMessage="1" showErrorMessage="1" errorTitle="Tasa de Crec. Anual de Consumo" error="El valor debe estar comprendido entre 0.5 y 2.5%" sqref="J14">
      <formula1>0.005</formula1>
      <formula2>0.025</formula2>
    </dataValidation>
    <dataValidation type="decimal" allowBlank="1" showInputMessage="1" showErrorMessage="1" errorTitle="Habitantes por Hohar" error="El valor debe ser mayor que 0" sqref="J11:J13">
      <formula1>0</formula1>
      <formula2>200</formula2>
    </dataValidation>
    <dataValidation type="decimal" allowBlank="1" showInputMessage="1" showErrorMessage="1" errorTitle="Habitantes por Hohar" error="El valor debe ser mayor que 0" sqref="J9">
      <formula1>0</formula1>
      <formula2>50</formula2>
    </dataValidation>
    <dataValidation type="list" allowBlank="1" showInputMessage="1" showErrorMessage="1" sqref="K82">
      <formula1>"FACTOR GLOBAL,FACTORES PARCIALES"</formula1>
    </dataValidation>
    <dataValidation type="decimal" allowBlank="1" showInputMessage="1" showErrorMessage="1" errorTitle="Perdidas de Energía" error="La crifra debe estar entre 6 y 20%" sqref="D22">
      <formula1>0.06</formula1>
      <formula2>0.2</formula2>
    </dataValidation>
    <dataValidation type="decimal" allowBlank="1" showInputMessage="1" showErrorMessage="1" errorTitle="Facto de Carga" error="La cifra debe estar entre 10 y 50%" sqref="D23">
      <formula1>0.1</formula1>
      <formula2>0.5</formula2>
    </dataValidation>
    <dataValidation type="list" allowBlank="1" showInputMessage="1" showErrorMessage="1" sqref="D25">
      <formula1>"4,5,6,SER"</formula1>
    </dataValidation>
    <dataValidation type="list" allowBlank="1" showInputMessage="1" showErrorMessage="1" sqref="J5">
      <formula1>"Costa,Sierra,Selva"</formula1>
    </dataValidation>
    <dataValidation type="decimal" allowBlank="1" showInputMessage="1" showErrorMessage="1" errorTitle="Tasa de Crecimiento Poblacional" error="El valor debe estar entre 0.5 y 4%" sqref="J6">
      <formula1>0.005</formula1>
      <formula2>0.04</formula2>
    </dataValidation>
    <dataValidation type="list" allowBlank="1" showInputMessage="1" showErrorMessage="1" sqref="D5">
      <formula1>"2011,2012,2013,2014,2015,2016,2017"</formula1>
    </dataValidation>
    <dataValidation type="decimal" operator="greaterThan" allowBlank="1" showInputMessage="1" showErrorMessage="1" errorTitle="Habitantes por Hohar" error="El valor debe ser mayor que 0" sqref="D6:D7">
      <formula1>0</formula1>
    </dataValidation>
    <dataValidation type="decimal" operator="greaterThanOrEqual" allowBlank="1" showInputMessage="1" showErrorMessage="1" errorTitle="Habitantes por Hohar" error="El valor debe ser mayor que 0" sqref="D10:D14">
      <formula1>0</formula1>
    </dataValidation>
    <dataValidation type="list" allowBlank="1" showInputMessage="1" showErrorMessage="1" sqref="J22">
      <formula1>"160,240,320"</formula1>
    </dataValidation>
    <dataValidation type="list" allowBlank="1" showInputMessage="1" showErrorMessage="1" sqref="D16">
      <formula1>"Sistema Convencional y Sistema Fotovoltaico,Sistema Convencional,Sistema Fotovoltaico"</formula1>
    </dataValidation>
    <dataValidation type="decimal" allowBlank="1" showInputMessage="1" showErrorMessage="1" sqref="D89">
      <formula1>0.02</formula1>
      <formula2>0.05</formula2>
    </dataValidation>
    <dataValidation type="list" allowBlank="1" showInputMessage="1" showErrorMessage="1" sqref="J24">
      <formula1>"50,70"</formula1>
    </dataValidation>
    <dataValidation type="list" allowBlank="1" showInputMessage="1" showErrorMessage="1" sqref="J21">
      <formula1>"70,100"</formula1>
    </dataValidation>
    <dataValidation type="list" allowBlank="1" showInputMessage="1" showErrorMessage="1" sqref="E106 K106">
      <formula1>"INDICADORES DE CAMPO,NRECA"</formula1>
    </dataValidation>
    <dataValidation type="list" allowBlank="1" showInputMessage="1" showErrorMessage="1" sqref="E82">
      <formula1>",FACTORES PARCIALES,FACTOR GLOBAL"</formula1>
    </dataValidation>
    <dataValidation type="decimal" allowBlank="1" showInputMessage="1" showErrorMessage="1" errorTitle="Habitantes por Hohar" error="El valor debe ser mayor que 0" sqref="J10">
      <formula1>0</formula1>
      <formula2>100</formula2>
    </dataValidation>
    <dataValidation type="decimal" operator="lessThanOrEqual" allowBlank="1" showInputMessage="1" showErrorMessage="1" errorTitle="% Refrigeración" error="El valor debe ser menor igual a 15%" sqref="D108 J108">
      <formula1>0.15</formula1>
    </dataValidation>
  </dataValidations>
  <printOptions/>
  <pageMargins left="0.7" right="0.7" top="0.75" bottom="0.75" header="0.3" footer="0.3"/>
  <pageSetup horizontalDpi="600" verticalDpi="600" orientation="portrait" paperSize="9" r:id="rId3"/>
  <drawing r:id="rId2"/>
  <legacyDrawing r:id="rId1"/>
</worksheet>
</file>

<file path=xl/worksheets/sheet10.xml><?xml version="1.0" encoding="utf-8"?>
<worksheet xmlns="http://schemas.openxmlformats.org/spreadsheetml/2006/main" xmlns:r="http://schemas.openxmlformats.org/officeDocument/2006/relationships">
  <sheetPr codeName="Hoja12">
    <pageSetUpPr fitToPage="1"/>
  </sheetPr>
  <dimension ref="A1:X71"/>
  <sheetViews>
    <sheetView showGridLines="0" showZeros="0" zoomScale="87" zoomScaleNormal="87" zoomScaleSheetLayoutView="84" zoomScalePageLayoutView="0" workbookViewId="0" topLeftCell="A1">
      <pane ySplit="4" topLeftCell="A5" activePane="bottomLeft" state="frozen"/>
      <selection pane="topLeft" activeCell="K132" sqref="K132"/>
      <selection pane="bottomLeft" activeCell="H27" sqref="H27"/>
    </sheetView>
  </sheetViews>
  <sheetFormatPr defaultColWidth="11.421875" defaultRowHeight="15"/>
  <cols>
    <col min="1" max="1" width="4.00390625" style="234" bestFit="1" customWidth="1"/>
    <col min="2" max="2" width="42.00390625" style="234" customWidth="1"/>
    <col min="3" max="3" width="11.28125" style="234" customWidth="1"/>
    <col min="4" max="4" width="12.421875" style="234" customWidth="1"/>
    <col min="5" max="14" width="8.28125" style="234" bestFit="1" customWidth="1"/>
    <col min="15" max="23" width="9.00390625" style="234" bestFit="1" customWidth="1"/>
    <col min="24" max="24" width="11.421875" style="234" customWidth="1"/>
    <col min="25" max="25" width="29.00390625" style="234" customWidth="1"/>
    <col min="26" max="26" width="15.7109375" style="234" customWidth="1"/>
    <col min="27" max="16384" width="11.421875" style="234" customWidth="1"/>
  </cols>
  <sheetData>
    <row r="1" spans="1:24" ht="27.75" customHeight="1" thickBot="1">
      <c r="A1" s="540"/>
      <c r="B1" s="540"/>
      <c r="C1" s="541"/>
      <c r="D1" s="541"/>
      <c r="E1" s="541"/>
      <c r="F1" s="541"/>
      <c r="G1" s="541"/>
      <c r="H1" s="541"/>
      <c r="I1" s="541"/>
      <c r="J1" s="541"/>
      <c r="K1" s="541"/>
      <c r="L1" s="541"/>
      <c r="M1" s="541"/>
      <c r="N1" s="541"/>
      <c r="O1" s="541"/>
      <c r="P1" s="541"/>
      <c r="Q1" s="541"/>
      <c r="R1" s="541"/>
      <c r="S1" s="541"/>
      <c r="T1" s="541"/>
      <c r="U1" s="541"/>
      <c r="V1" s="541"/>
      <c r="W1" s="541"/>
      <c r="X1" s="540"/>
    </row>
    <row r="2" spans="1:24" ht="15.75">
      <c r="A2" s="876" t="s">
        <v>129</v>
      </c>
      <c r="B2" s="877"/>
      <c r="C2" s="877"/>
      <c r="D2" s="877"/>
      <c r="E2" s="877"/>
      <c r="F2" s="877"/>
      <c r="G2" s="877"/>
      <c r="H2" s="877"/>
      <c r="I2" s="877"/>
      <c r="J2" s="877"/>
      <c r="K2" s="877"/>
      <c r="L2" s="877"/>
      <c r="M2" s="877"/>
      <c r="N2" s="877"/>
      <c r="O2" s="877"/>
      <c r="P2" s="877"/>
      <c r="Q2" s="877"/>
      <c r="R2" s="877"/>
      <c r="S2" s="877"/>
      <c r="T2" s="877"/>
      <c r="U2" s="877"/>
      <c r="V2" s="877"/>
      <c r="W2" s="878"/>
      <c r="X2" s="540"/>
    </row>
    <row r="3" spans="1:24" ht="15.75">
      <c r="A3" s="879" t="s">
        <v>341</v>
      </c>
      <c r="B3" s="880"/>
      <c r="C3" s="880"/>
      <c r="D3" s="880"/>
      <c r="E3" s="880"/>
      <c r="F3" s="880"/>
      <c r="G3" s="880"/>
      <c r="H3" s="880"/>
      <c r="I3" s="880"/>
      <c r="J3" s="880"/>
      <c r="K3" s="880"/>
      <c r="L3" s="880"/>
      <c r="M3" s="880"/>
      <c r="N3" s="880"/>
      <c r="O3" s="880"/>
      <c r="P3" s="880"/>
      <c r="Q3" s="880"/>
      <c r="R3" s="880"/>
      <c r="S3" s="880"/>
      <c r="T3" s="880"/>
      <c r="U3" s="880"/>
      <c r="V3" s="880"/>
      <c r="W3" s="881"/>
      <c r="X3" s="540"/>
    </row>
    <row r="4" spans="1:24" ht="15.75">
      <c r="A4" s="882" t="s">
        <v>35</v>
      </c>
      <c r="B4" s="883"/>
      <c r="C4" s="883"/>
      <c r="D4" s="883"/>
      <c r="E4" s="883"/>
      <c r="F4" s="883"/>
      <c r="G4" s="883"/>
      <c r="H4" s="883"/>
      <c r="I4" s="883"/>
      <c r="J4" s="883"/>
      <c r="K4" s="883"/>
      <c r="L4" s="883"/>
      <c r="M4" s="883"/>
      <c r="N4" s="883"/>
      <c r="O4" s="883"/>
      <c r="P4" s="883"/>
      <c r="Q4" s="883"/>
      <c r="R4" s="883"/>
      <c r="S4" s="883"/>
      <c r="T4" s="883"/>
      <c r="U4" s="883"/>
      <c r="V4" s="883"/>
      <c r="W4" s="884"/>
      <c r="X4" s="540"/>
    </row>
    <row r="5" spans="1:24" ht="15" customHeight="1">
      <c r="A5" s="867" t="s">
        <v>4</v>
      </c>
      <c r="B5" s="868"/>
      <c r="C5" s="873" t="s">
        <v>92</v>
      </c>
      <c r="D5" s="874"/>
      <c r="E5" s="874"/>
      <c r="F5" s="874"/>
      <c r="G5" s="874"/>
      <c r="H5" s="874"/>
      <c r="I5" s="874"/>
      <c r="J5" s="874"/>
      <c r="K5" s="874"/>
      <c r="L5" s="874"/>
      <c r="M5" s="874"/>
      <c r="N5" s="874"/>
      <c r="O5" s="874"/>
      <c r="P5" s="874"/>
      <c r="Q5" s="874"/>
      <c r="R5" s="874"/>
      <c r="S5" s="874"/>
      <c r="T5" s="874"/>
      <c r="U5" s="874"/>
      <c r="V5" s="874"/>
      <c r="W5" s="875"/>
      <c r="X5" s="540"/>
    </row>
    <row r="6" spans="1:24" ht="14.25" customHeight="1">
      <c r="A6" s="869"/>
      <c r="B6" s="870"/>
      <c r="C6" s="8">
        <v>0</v>
      </c>
      <c r="D6" s="8">
        <v>1</v>
      </c>
      <c r="E6" s="8">
        <v>2</v>
      </c>
      <c r="F6" s="8">
        <v>3</v>
      </c>
      <c r="G6" s="8">
        <v>4</v>
      </c>
      <c r="H6" s="8">
        <v>5</v>
      </c>
      <c r="I6" s="8">
        <v>6</v>
      </c>
      <c r="J6" s="8">
        <v>7</v>
      </c>
      <c r="K6" s="8">
        <v>8</v>
      </c>
      <c r="L6" s="8">
        <v>9</v>
      </c>
      <c r="M6" s="8">
        <v>10</v>
      </c>
      <c r="N6" s="8">
        <v>11</v>
      </c>
      <c r="O6" s="8">
        <v>12</v>
      </c>
      <c r="P6" s="8">
        <v>13</v>
      </c>
      <c r="Q6" s="8">
        <v>14</v>
      </c>
      <c r="R6" s="8">
        <v>15</v>
      </c>
      <c r="S6" s="8">
        <v>16</v>
      </c>
      <c r="T6" s="8">
        <v>17</v>
      </c>
      <c r="U6" s="8">
        <v>18</v>
      </c>
      <c r="V6" s="8">
        <v>19</v>
      </c>
      <c r="W6" s="114">
        <v>20</v>
      </c>
      <c r="X6" s="540"/>
    </row>
    <row r="7" spans="1:24" ht="18.75" customHeight="1">
      <c r="A7" s="871"/>
      <c r="B7" s="872"/>
      <c r="C7" s="8">
        <f>'F2'!C8</f>
        <v>2011</v>
      </c>
      <c r="D7" s="8">
        <f>+C7+1</f>
        <v>2012</v>
      </c>
      <c r="E7" s="8">
        <f aca="true" t="shared" si="0" ref="E7:W7">+D7+1</f>
        <v>2013</v>
      </c>
      <c r="F7" s="8">
        <f t="shared" si="0"/>
        <v>2014</v>
      </c>
      <c r="G7" s="8">
        <f t="shared" si="0"/>
        <v>2015</v>
      </c>
      <c r="H7" s="8">
        <f t="shared" si="0"/>
        <v>2016</v>
      </c>
      <c r="I7" s="8">
        <f t="shared" si="0"/>
        <v>2017</v>
      </c>
      <c r="J7" s="8">
        <f t="shared" si="0"/>
        <v>2018</v>
      </c>
      <c r="K7" s="8">
        <f t="shared" si="0"/>
        <v>2019</v>
      </c>
      <c r="L7" s="8">
        <f t="shared" si="0"/>
        <v>2020</v>
      </c>
      <c r="M7" s="8">
        <f t="shared" si="0"/>
        <v>2021</v>
      </c>
      <c r="N7" s="8">
        <f t="shared" si="0"/>
        <v>2022</v>
      </c>
      <c r="O7" s="8">
        <f t="shared" si="0"/>
        <v>2023</v>
      </c>
      <c r="P7" s="8">
        <f t="shared" si="0"/>
        <v>2024</v>
      </c>
      <c r="Q7" s="8">
        <f t="shared" si="0"/>
        <v>2025</v>
      </c>
      <c r="R7" s="8">
        <f t="shared" si="0"/>
        <v>2026</v>
      </c>
      <c r="S7" s="8">
        <f t="shared" si="0"/>
        <v>2027</v>
      </c>
      <c r="T7" s="8">
        <f t="shared" si="0"/>
        <v>2028</v>
      </c>
      <c r="U7" s="8">
        <f t="shared" si="0"/>
        <v>2029</v>
      </c>
      <c r="V7" s="8">
        <f t="shared" si="0"/>
        <v>2030</v>
      </c>
      <c r="W7" s="114">
        <f t="shared" si="0"/>
        <v>2031</v>
      </c>
      <c r="X7" s="540"/>
    </row>
    <row r="8" spans="1:24" ht="15">
      <c r="A8" s="542" t="s">
        <v>0</v>
      </c>
      <c r="B8" s="543" t="s">
        <v>5</v>
      </c>
      <c r="C8" s="544"/>
      <c r="D8" s="544"/>
      <c r="E8" s="544"/>
      <c r="F8" s="544"/>
      <c r="G8" s="544"/>
      <c r="H8" s="544"/>
      <c r="I8" s="544"/>
      <c r="J8" s="544"/>
      <c r="K8" s="544"/>
      <c r="L8" s="544"/>
      <c r="M8" s="544"/>
      <c r="N8" s="544"/>
      <c r="O8" s="544"/>
      <c r="P8" s="544"/>
      <c r="Q8" s="544"/>
      <c r="R8" s="544"/>
      <c r="S8" s="544"/>
      <c r="T8" s="544"/>
      <c r="U8" s="544"/>
      <c r="V8" s="544"/>
      <c r="W8" s="545"/>
      <c r="X8" s="540"/>
    </row>
    <row r="9" spans="1:24" ht="15">
      <c r="A9" s="546">
        <v>1</v>
      </c>
      <c r="B9" s="547" t="s">
        <v>25</v>
      </c>
      <c r="C9" s="232">
        <f>SUM(C10:C11)</f>
        <v>274662.65525999997</v>
      </c>
      <c r="D9" s="232"/>
      <c r="E9" s="232"/>
      <c r="F9" s="232"/>
      <c r="G9" s="232"/>
      <c r="H9" s="232"/>
      <c r="I9" s="232"/>
      <c r="J9" s="232"/>
      <c r="K9" s="232"/>
      <c r="L9" s="232"/>
      <c r="M9" s="232"/>
      <c r="N9" s="232"/>
      <c r="O9" s="232"/>
      <c r="P9" s="232"/>
      <c r="Q9" s="232"/>
      <c r="R9" s="232"/>
      <c r="S9" s="232"/>
      <c r="T9" s="232"/>
      <c r="U9" s="232"/>
      <c r="V9" s="232"/>
      <c r="W9" s="548"/>
      <c r="X9" s="540"/>
    </row>
    <row r="10" spans="1:24" ht="15">
      <c r="A10" s="549">
        <v>1.1</v>
      </c>
      <c r="B10" s="457" t="s">
        <v>131</v>
      </c>
      <c r="C10" s="335">
        <f>Entrada!D55</f>
        <v>243925.77159999998</v>
      </c>
      <c r="D10" s="232"/>
      <c r="E10" s="551"/>
      <c r="F10" s="551"/>
      <c r="G10" s="551"/>
      <c r="H10" s="551"/>
      <c r="I10" s="551"/>
      <c r="J10" s="551"/>
      <c r="K10" s="551"/>
      <c r="L10" s="551"/>
      <c r="M10" s="551"/>
      <c r="N10" s="551"/>
      <c r="O10" s="551"/>
      <c r="P10" s="551"/>
      <c r="Q10" s="551"/>
      <c r="R10" s="551"/>
      <c r="S10" s="551"/>
      <c r="T10" s="551"/>
      <c r="U10" s="551"/>
      <c r="V10" s="551"/>
      <c r="W10" s="552"/>
      <c r="X10" s="540"/>
    </row>
    <row r="11" spans="1:24" ht="15">
      <c r="A11" s="549">
        <v>1.2</v>
      </c>
      <c r="B11" s="457" t="s">
        <v>249</v>
      </c>
      <c r="C11" s="335">
        <f>Entrada!D56</f>
        <v>30736.88366</v>
      </c>
      <c r="D11" s="232"/>
      <c r="E11" s="551"/>
      <c r="F11" s="551"/>
      <c r="G11" s="551"/>
      <c r="H11" s="551"/>
      <c r="I11" s="551"/>
      <c r="J11" s="551"/>
      <c r="K11" s="551"/>
      <c r="L11" s="551"/>
      <c r="M11" s="551"/>
      <c r="N11" s="551"/>
      <c r="O11" s="551"/>
      <c r="P11" s="551"/>
      <c r="Q11" s="551"/>
      <c r="R11" s="551"/>
      <c r="S11" s="551"/>
      <c r="T11" s="551"/>
      <c r="U11" s="551"/>
      <c r="V11" s="551"/>
      <c r="W11" s="552"/>
      <c r="X11" s="540"/>
    </row>
    <row r="12" spans="1:24" ht="15">
      <c r="A12" s="549"/>
      <c r="B12" s="457"/>
      <c r="C12" s="335"/>
      <c r="D12" s="232"/>
      <c r="E12" s="551"/>
      <c r="F12" s="551"/>
      <c r="G12" s="551"/>
      <c r="H12" s="551"/>
      <c r="I12" s="551"/>
      <c r="J12" s="551"/>
      <c r="K12" s="551"/>
      <c r="L12" s="551"/>
      <c r="M12" s="551"/>
      <c r="N12" s="551"/>
      <c r="O12" s="551"/>
      <c r="P12" s="551"/>
      <c r="Q12" s="551"/>
      <c r="R12" s="551"/>
      <c r="S12" s="551"/>
      <c r="T12" s="551"/>
      <c r="U12" s="551"/>
      <c r="V12" s="551"/>
      <c r="W12" s="552"/>
      <c r="X12" s="540"/>
    </row>
    <row r="13" spans="1:24" ht="15">
      <c r="A13" s="546">
        <v>2</v>
      </c>
      <c r="B13" s="547" t="s">
        <v>140</v>
      </c>
      <c r="C13" s="331">
        <f>+C15+C22+C29+C36+C37</f>
        <v>2152294.2250432</v>
      </c>
      <c r="D13" s="331"/>
      <c r="E13" s="232"/>
      <c r="F13" s="232"/>
      <c r="G13" s="232"/>
      <c r="H13" s="232"/>
      <c r="I13" s="232"/>
      <c r="J13" s="232"/>
      <c r="K13" s="232"/>
      <c r="L13" s="232"/>
      <c r="M13" s="232"/>
      <c r="N13" s="232"/>
      <c r="O13" s="232"/>
      <c r="P13" s="232"/>
      <c r="Q13" s="232"/>
      <c r="R13" s="232"/>
      <c r="S13" s="232"/>
      <c r="T13" s="232"/>
      <c r="U13" s="232"/>
      <c r="V13" s="232"/>
      <c r="W13" s="548"/>
      <c r="X13" s="540"/>
    </row>
    <row r="14" spans="1:24" ht="8.25" customHeight="1">
      <c r="A14" s="546"/>
      <c r="B14" s="547"/>
      <c r="C14" s="335"/>
      <c r="D14" s="232"/>
      <c r="E14" s="232"/>
      <c r="F14" s="232"/>
      <c r="G14" s="232"/>
      <c r="H14" s="232"/>
      <c r="I14" s="232"/>
      <c r="J14" s="232"/>
      <c r="K14" s="232"/>
      <c r="L14" s="232"/>
      <c r="M14" s="232"/>
      <c r="N14" s="232"/>
      <c r="O14" s="232"/>
      <c r="P14" s="232"/>
      <c r="Q14" s="232"/>
      <c r="R14" s="232"/>
      <c r="S14" s="232"/>
      <c r="T14" s="232"/>
      <c r="U14" s="232"/>
      <c r="V14" s="232"/>
      <c r="W14" s="548"/>
      <c r="X14" s="540"/>
    </row>
    <row r="15" spans="1:24" ht="15">
      <c r="A15" s="546">
        <v>2.1</v>
      </c>
      <c r="B15" s="547" t="s">
        <v>137</v>
      </c>
      <c r="C15" s="331">
        <f>SUM(C16:C20)</f>
        <v>473030.8905</v>
      </c>
      <c r="D15" s="331"/>
      <c r="E15" s="232"/>
      <c r="F15" s="232"/>
      <c r="G15" s="232"/>
      <c r="H15" s="232"/>
      <c r="I15" s="232"/>
      <c r="J15" s="232"/>
      <c r="K15" s="232"/>
      <c r="L15" s="232"/>
      <c r="M15" s="232"/>
      <c r="N15" s="232"/>
      <c r="O15" s="232"/>
      <c r="P15" s="232"/>
      <c r="Q15" s="232"/>
      <c r="R15" s="232"/>
      <c r="S15" s="232"/>
      <c r="T15" s="232"/>
      <c r="U15" s="232"/>
      <c r="V15" s="232"/>
      <c r="W15" s="548"/>
      <c r="X15" s="540"/>
    </row>
    <row r="16" spans="1:24" ht="15">
      <c r="A16" s="546"/>
      <c r="B16" s="457" t="s">
        <v>62</v>
      </c>
      <c r="C16" s="335">
        <f>Entrada!D59</f>
        <v>65807.56525</v>
      </c>
      <c r="D16" s="232"/>
      <c r="E16" s="232"/>
      <c r="F16" s="232"/>
      <c r="G16" s="232"/>
      <c r="H16" s="232"/>
      <c r="I16" s="232"/>
      <c r="J16" s="232"/>
      <c r="K16" s="232"/>
      <c r="L16" s="232"/>
      <c r="M16" s="232"/>
      <c r="N16" s="232"/>
      <c r="O16" s="232"/>
      <c r="P16" s="232"/>
      <c r="Q16" s="232"/>
      <c r="R16" s="232"/>
      <c r="S16" s="232"/>
      <c r="T16" s="232"/>
      <c r="U16" s="232"/>
      <c r="V16" s="232"/>
      <c r="W16" s="548"/>
      <c r="X16" s="540"/>
    </row>
    <row r="17" spans="1:24" ht="15">
      <c r="A17" s="546"/>
      <c r="B17" s="457" t="s">
        <v>63</v>
      </c>
      <c r="C17" s="335">
        <f>Entrada!D60</f>
        <v>146474.90445</v>
      </c>
      <c r="D17" s="232"/>
      <c r="E17" s="232"/>
      <c r="F17" s="232"/>
      <c r="G17" s="232"/>
      <c r="H17" s="232"/>
      <c r="I17" s="232"/>
      <c r="J17" s="232"/>
      <c r="K17" s="232"/>
      <c r="L17" s="232"/>
      <c r="M17" s="232"/>
      <c r="N17" s="232"/>
      <c r="O17" s="232"/>
      <c r="P17" s="232"/>
      <c r="Q17" s="232"/>
      <c r="R17" s="232"/>
      <c r="S17" s="232"/>
      <c r="T17" s="232"/>
      <c r="U17" s="232"/>
      <c r="V17" s="232"/>
      <c r="W17" s="548"/>
      <c r="X17" s="540"/>
    </row>
    <row r="18" spans="1:24" ht="15">
      <c r="A18" s="546"/>
      <c r="B18" s="457" t="s">
        <v>135</v>
      </c>
      <c r="C18" s="335">
        <f>Entrada!D61</f>
        <v>144996.07121999998</v>
      </c>
      <c r="D18" s="232"/>
      <c r="E18" s="232"/>
      <c r="F18" s="232"/>
      <c r="G18" s="232"/>
      <c r="H18" s="232"/>
      <c r="I18" s="232"/>
      <c r="J18" s="232"/>
      <c r="K18" s="232"/>
      <c r="L18" s="232"/>
      <c r="M18" s="232"/>
      <c r="N18" s="232"/>
      <c r="O18" s="232"/>
      <c r="P18" s="232"/>
      <c r="Q18" s="232"/>
      <c r="R18" s="232"/>
      <c r="S18" s="232"/>
      <c r="T18" s="232"/>
      <c r="U18" s="232"/>
      <c r="V18" s="232"/>
      <c r="W18" s="548"/>
      <c r="X18" s="540"/>
    </row>
    <row r="19" spans="1:24" ht="15">
      <c r="A19" s="546"/>
      <c r="B19" s="457" t="s">
        <v>136</v>
      </c>
      <c r="C19" s="335">
        <f>Entrada!D62</f>
        <v>96664.04748</v>
      </c>
      <c r="D19" s="232"/>
      <c r="E19" s="232"/>
      <c r="F19" s="232"/>
      <c r="G19" s="232"/>
      <c r="H19" s="232"/>
      <c r="I19" s="232"/>
      <c r="J19" s="232"/>
      <c r="K19" s="232"/>
      <c r="L19" s="232"/>
      <c r="M19" s="232"/>
      <c r="N19" s="232"/>
      <c r="O19" s="232"/>
      <c r="P19" s="232"/>
      <c r="Q19" s="232"/>
      <c r="R19" s="232"/>
      <c r="S19" s="232"/>
      <c r="T19" s="232"/>
      <c r="U19" s="232"/>
      <c r="V19" s="232"/>
      <c r="W19" s="548"/>
      <c r="X19" s="540"/>
    </row>
    <row r="20" spans="1:24" ht="15">
      <c r="A20" s="546"/>
      <c r="B20" s="457" t="s">
        <v>134</v>
      </c>
      <c r="C20" s="335">
        <f>Entrada!D63</f>
        <v>19088.3021</v>
      </c>
      <c r="D20" s="232"/>
      <c r="E20" s="232"/>
      <c r="F20" s="232"/>
      <c r="G20" s="232"/>
      <c r="H20" s="232"/>
      <c r="I20" s="232"/>
      <c r="J20" s="232"/>
      <c r="K20" s="232"/>
      <c r="L20" s="232"/>
      <c r="M20" s="232"/>
      <c r="N20" s="232"/>
      <c r="O20" s="232"/>
      <c r="P20" s="232"/>
      <c r="Q20" s="232"/>
      <c r="R20" s="232"/>
      <c r="S20" s="232"/>
      <c r="T20" s="232"/>
      <c r="U20" s="232"/>
      <c r="V20" s="232"/>
      <c r="W20" s="548"/>
      <c r="X20" s="540"/>
    </row>
    <row r="21" spans="1:24" ht="8.25" customHeight="1">
      <c r="A21" s="546"/>
      <c r="B21" s="547"/>
      <c r="C21" s="335"/>
      <c r="D21" s="232"/>
      <c r="E21" s="232"/>
      <c r="F21" s="232"/>
      <c r="G21" s="232"/>
      <c r="H21" s="232"/>
      <c r="I21" s="232"/>
      <c r="J21" s="232"/>
      <c r="K21" s="232"/>
      <c r="L21" s="232"/>
      <c r="M21" s="232"/>
      <c r="N21" s="232"/>
      <c r="O21" s="232"/>
      <c r="P21" s="232"/>
      <c r="Q21" s="232"/>
      <c r="R21" s="232"/>
      <c r="S21" s="232"/>
      <c r="T21" s="232"/>
      <c r="U21" s="232"/>
      <c r="V21" s="232"/>
      <c r="W21" s="548"/>
      <c r="X21" s="540"/>
    </row>
    <row r="22" spans="1:24" ht="15">
      <c r="A22" s="546">
        <v>2.2</v>
      </c>
      <c r="B22" s="547" t="s">
        <v>138</v>
      </c>
      <c r="C22" s="331">
        <f>SUM(C23:C27)</f>
        <v>356170.2606</v>
      </c>
      <c r="D22" s="232"/>
      <c r="E22" s="232"/>
      <c r="F22" s="232"/>
      <c r="G22" s="232"/>
      <c r="H22" s="232"/>
      <c r="I22" s="232"/>
      <c r="J22" s="232"/>
      <c r="K22" s="232"/>
      <c r="L22" s="232"/>
      <c r="M22" s="232"/>
      <c r="N22" s="232"/>
      <c r="O22" s="232"/>
      <c r="P22" s="232"/>
      <c r="Q22" s="232"/>
      <c r="R22" s="232"/>
      <c r="S22" s="232"/>
      <c r="T22" s="232"/>
      <c r="U22" s="232"/>
      <c r="V22" s="232"/>
      <c r="W22" s="548"/>
      <c r="X22" s="540"/>
    </row>
    <row r="23" spans="1:24" ht="15">
      <c r="A23" s="549"/>
      <c r="B23" s="457" t="s">
        <v>62</v>
      </c>
      <c r="C23" s="335">
        <f>Entrada!D65</f>
        <v>73789.56879</v>
      </c>
      <c r="D23" s="232"/>
      <c r="E23" s="551"/>
      <c r="F23" s="551"/>
      <c r="G23" s="551"/>
      <c r="H23" s="551"/>
      <c r="I23" s="551"/>
      <c r="J23" s="551"/>
      <c r="K23" s="551"/>
      <c r="L23" s="551"/>
      <c r="M23" s="551"/>
      <c r="N23" s="551"/>
      <c r="O23" s="551"/>
      <c r="P23" s="551"/>
      <c r="Q23" s="551"/>
      <c r="R23" s="551"/>
      <c r="S23" s="551"/>
      <c r="T23" s="551"/>
      <c r="U23" s="551"/>
      <c r="V23" s="551"/>
      <c r="W23" s="552"/>
      <c r="X23" s="540"/>
    </row>
    <row r="24" spans="1:24" ht="15">
      <c r="A24" s="549"/>
      <c r="B24" s="457" t="s">
        <v>63</v>
      </c>
      <c r="C24" s="335">
        <f>Entrada!D66</f>
        <v>164241.29981</v>
      </c>
      <c r="D24" s="232"/>
      <c r="E24" s="551"/>
      <c r="F24" s="551"/>
      <c r="G24" s="551"/>
      <c r="H24" s="551"/>
      <c r="I24" s="551"/>
      <c r="J24" s="551"/>
      <c r="K24" s="551"/>
      <c r="L24" s="551"/>
      <c r="M24" s="551"/>
      <c r="N24" s="551"/>
      <c r="O24" s="551"/>
      <c r="P24" s="551"/>
      <c r="Q24" s="551"/>
      <c r="R24" s="551"/>
      <c r="S24" s="551"/>
      <c r="T24" s="551"/>
      <c r="U24" s="551"/>
      <c r="V24" s="551"/>
      <c r="W24" s="552"/>
      <c r="X24" s="540"/>
    </row>
    <row r="25" spans="1:24" ht="15">
      <c r="A25" s="549"/>
      <c r="B25" s="457" t="s">
        <v>135</v>
      </c>
      <c r="C25" s="335">
        <f>Entrada!D67</f>
        <v>64153.16417999999</v>
      </c>
      <c r="D25" s="232"/>
      <c r="E25" s="551"/>
      <c r="F25" s="551"/>
      <c r="G25" s="551"/>
      <c r="H25" s="551"/>
      <c r="I25" s="551"/>
      <c r="J25" s="551"/>
      <c r="K25" s="551"/>
      <c r="L25" s="551"/>
      <c r="M25" s="551"/>
      <c r="N25" s="551"/>
      <c r="O25" s="551"/>
      <c r="P25" s="551"/>
      <c r="Q25" s="551"/>
      <c r="R25" s="551"/>
      <c r="S25" s="551"/>
      <c r="T25" s="551"/>
      <c r="U25" s="551"/>
      <c r="V25" s="551"/>
      <c r="W25" s="552"/>
      <c r="X25" s="540"/>
    </row>
    <row r="26" spans="1:24" ht="15">
      <c r="A26" s="549"/>
      <c r="B26" s="457" t="s">
        <v>136</v>
      </c>
      <c r="C26" s="335">
        <f>Entrada!D68</f>
        <v>42768.77612</v>
      </c>
      <c r="D26" s="232"/>
      <c r="E26" s="551"/>
      <c r="F26" s="551"/>
      <c r="G26" s="551"/>
      <c r="H26" s="551"/>
      <c r="I26" s="551"/>
      <c r="J26" s="551"/>
      <c r="K26" s="551"/>
      <c r="L26" s="551"/>
      <c r="M26" s="551"/>
      <c r="N26" s="551"/>
      <c r="O26" s="551"/>
      <c r="P26" s="551"/>
      <c r="Q26" s="551"/>
      <c r="R26" s="551"/>
      <c r="S26" s="551"/>
      <c r="T26" s="551"/>
      <c r="U26" s="551"/>
      <c r="V26" s="551"/>
      <c r="W26" s="552"/>
      <c r="X26" s="540"/>
    </row>
    <row r="27" spans="1:24" ht="15">
      <c r="A27" s="549"/>
      <c r="B27" s="457" t="s">
        <v>134</v>
      </c>
      <c r="C27" s="335">
        <f>Entrada!D69</f>
        <v>11217.4517</v>
      </c>
      <c r="D27" s="232"/>
      <c r="E27" s="551"/>
      <c r="F27" s="551"/>
      <c r="G27" s="551"/>
      <c r="H27" s="551"/>
      <c r="I27" s="551"/>
      <c r="J27" s="551"/>
      <c r="K27" s="551"/>
      <c r="L27" s="551"/>
      <c r="M27" s="551"/>
      <c r="N27" s="551"/>
      <c r="O27" s="551"/>
      <c r="P27" s="551"/>
      <c r="Q27" s="551"/>
      <c r="R27" s="551"/>
      <c r="S27" s="551"/>
      <c r="T27" s="551"/>
      <c r="U27" s="551"/>
      <c r="V27" s="551"/>
      <c r="W27" s="552"/>
      <c r="X27" s="540"/>
    </row>
    <row r="28" spans="1:24" ht="6.75" customHeight="1">
      <c r="A28" s="549"/>
      <c r="B28" s="457"/>
      <c r="C28" s="335"/>
      <c r="D28" s="232"/>
      <c r="E28" s="551"/>
      <c r="F28" s="551"/>
      <c r="G28" s="551"/>
      <c r="H28" s="551"/>
      <c r="I28" s="551"/>
      <c r="J28" s="551"/>
      <c r="K28" s="551"/>
      <c r="L28" s="551"/>
      <c r="M28" s="551"/>
      <c r="N28" s="551"/>
      <c r="O28" s="551"/>
      <c r="P28" s="551"/>
      <c r="Q28" s="551"/>
      <c r="R28" s="551"/>
      <c r="S28" s="551"/>
      <c r="T28" s="551"/>
      <c r="U28" s="551"/>
      <c r="V28" s="551"/>
      <c r="W28" s="552"/>
      <c r="X28" s="540"/>
    </row>
    <row r="29" spans="1:24" ht="15">
      <c r="A29" s="549">
        <v>2.3</v>
      </c>
      <c r="B29" s="547" t="s">
        <v>47</v>
      </c>
      <c r="C29" s="331">
        <f>SUM(C30:C34)</f>
        <v>964377.3696900001</v>
      </c>
      <c r="D29" s="331"/>
      <c r="E29" s="551"/>
      <c r="F29" s="551"/>
      <c r="G29" s="551"/>
      <c r="H29" s="551"/>
      <c r="I29" s="551"/>
      <c r="J29" s="551"/>
      <c r="K29" s="551"/>
      <c r="L29" s="551"/>
      <c r="M29" s="551"/>
      <c r="N29" s="551"/>
      <c r="O29" s="551"/>
      <c r="P29" s="551"/>
      <c r="Q29" s="551"/>
      <c r="R29" s="551"/>
      <c r="S29" s="551"/>
      <c r="T29" s="551"/>
      <c r="U29" s="551"/>
      <c r="V29" s="551"/>
      <c r="W29" s="552"/>
      <c r="X29" s="540"/>
    </row>
    <row r="30" spans="1:24" ht="15">
      <c r="A30" s="549"/>
      <c r="B30" s="457" t="s">
        <v>62</v>
      </c>
      <c r="C30" s="335">
        <f>Entrada!D71</f>
        <v>186129.65525</v>
      </c>
      <c r="D30" s="232"/>
      <c r="E30" s="551"/>
      <c r="F30" s="551"/>
      <c r="G30" s="551"/>
      <c r="H30" s="551"/>
      <c r="I30" s="551"/>
      <c r="J30" s="551"/>
      <c r="K30" s="551"/>
      <c r="L30" s="551"/>
      <c r="M30" s="551"/>
      <c r="N30" s="551"/>
      <c r="O30" s="551"/>
      <c r="P30" s="551"/>
      <c r="Q30" s="551"/>
      <c r="R30" s="551"/>
      <c r="S30" s="551"/>
      <c r="T30" s="551"/>
      <c r="U30" s="551"/>
      <c r="V30" s="551"/>
      <c r="W30" s="552"/>
      <c r="X30" s="540"/>
    </row>
    <row r="31" spans="1:24" ht="15">
      <c r="A31" s="549"/>
      <c r="B31" s="457" t="s">
        <v>63</v>
      </c>
      <c r="C31" s="335">
        <f>Entrada!D72</f>
        <v>345669.36145</v>
      </c>
      <c r="D31" s="232"/>
      <c r="E31" s="551"/>
      <c r="F31" s="551"/>
      <c r="G31" s="551"/>
      <c r="H31" s="551"/>
      <c r="I31" s="551"/>
      <c r="J31" s="551"/>
      <c r="K31" s="551"/>
      <c r="L31" s="551"/>
      <c r="M31" s="551"/>
      <c r="N31" s="551"/>
      <c r="O31" s="551"/>
      <c r="P31" s="551"/>
      <c r="Q31" s="551"/>
      <c r="R31" s="551"/>
      <c r="S31" s="551"/>
      <c r="T31" s="551"/>
      <c r="U31" s="551"/>
      <c r="V31" s="551"/>
      <c r="W31" s="552"/>
      <c r="X31" s="540"/>
    </row>
    <row r="32" spans="1:24" ht="15">
      <c r="A32" s="549"/>
      <c r="B32" s="457" t="s">
        <v>135</v>
      </c>
      <c r="C32" s="335">
        <f>Entrada!D73</f>
        <v>230514.28595999998</v>
      </c>
      <c r="D32" s="232"/>
      <c r="E32" s="551"/>
      <c r="F32" s="551"/>
      <c r="G32" s="551"/>
      <c r="H32" s="551"/>
      <c r="I32" s="551"/>
      <c r="J32" s="551"/>
      <c r="K32" s="551"/>
      <c r="L32" s="551"/>
      <c r="M32" s="551"/>
      <c r="N32" s="551"/>
      <c r="O32" s="551"/>
      <c r="P32" s="551"/>
      <c r="Q32" s="551"/>
      <c r="R32" s="551"/>
      <c r="S32" s="551"/>
      <c r="T32" s="551"/>
      <c r="U32" s="551"/>
      <c r="V32" s="551"/>
      <c r="W32" s="552"/>
      <c r="X32" s="540"/>
    </row>
    <row r="33" spans="1:24" ht="15">
      <c r="A33" s="549"/>
      <c r="B33" s="457" t="s">
        <v>136</v>
      </c>
      <c r="C33" s="335">
        <f>Entrada!D74</f>
        <v>124123.07733</v>
      </c>
      <c r="D33" s="232"/>
      <c r="E33" s="551"/>
      <c r="F33" s="551"/>
      <c r="G33" s="551"/>
      <c r="H33" s="551"/>
      <c r="I33" s="551"/>
      <c r="J33" s="551"/>
      <c r="K33" s="551"/>
      <c r="L33" s="551"/>
      <c r="M33" s="551"/>
      <c r="N33" s="551"/>
      <c r="O33" s="551"/>
      <c r="P33" s="551"/>
      <c r="Q33" s="551"/>
      <c r="R33" s="551"/>
      <c r="S33" s="551"/>
      <c r="T33" s="551"/>
      <c r="U33" s="551"/>
      <c r="V33" s="551"/>
      <c r="W33" s="552"/>
      <c r="X33" s="540"/>
    </row>
    <row r="34" spans="1:24" ht="15">
      <c r="A34" s="549"/>
      <c r="B34" s="457" t="s">
        <v>134</v>
      </c>
      <c r="C34" s="335">
        <f>Entrada!D75</f>
        <v>77940.98969999999</v>
      </c>
      <c r="D34" s="232"/>
      <c r="E34" s="551"/>
      <c r="F34" s="551"/>
      <c r="G34" s="551"/>
      <c r="H34" s="551"/>
      <c r="I34" s="551"/>
      <c r="J34" s="551"/>
      <c r="K34" s="551"/>
      <c r="L34" s="551"/>
      <c r="M34" s="551"/>
      <c r="N34" s="551"/>
      <c r="O34" s="551"/>
      <c r="P34" s="551"/>
      <c r="Q34" s="551"/>
      <c r="R34" s="551"/>
      <c r="S34" s="551"/>
      <c r="T34" s="551"/>
      <c r="U34" s="551"/>
      <c r="V34" s="551"/>
      <c r="W34" s="552"/>
      <c r="X34" s="540"/>
    </row>
    <row r="35" spans="1:24" ht="8.25" customHeight="1">
      <c r="A35" s="549"/>
      <c r="B35" s="457"/>
      <c r="C35" s="335"/>
      <c r="D35" s="232"/>
      <c r="E35" s="551"/>
      <c r="F35" s="551"/>
      <c r="G35" s="551"/>
      <c r="H35" s="551"/>
      <c r="I35" s="551"/>
      <c r="J35" s="551"/>
      <c r="K35" s="551"/>
      <c r="L35" s="551"/>
      <c r="M35" s="551"/>
      <c r="N35" s="551"/>
      <c r="O35" s="551"/>
      <c r="P35" s="551"/>
      <c r="Q35" s="551"/>
      <c r="R35" s="551"/>
      <c r="S35" s="551"/>
      <c r="T35" s="551"/>
      <c r="U35" s="551"/>
      <c r="V35" s="551"/>
      <c r="W35" s="552"/>
      <c r="X35" s="540"/>
    </row>
    <row r="36" spans="1:24" ht="15">
      <c r="A36" s="549">
        <v>2.4</v>
      </c>
      <c r="B36" s="457" t="s">
        <v>133</v>
      </c>
      <c r="C36" s="335">
        <f>Entrada!D76</f>
        <v>215229.42258999997</v>
      </c>
      <c r="D36" s="232"/>
      <c r="E36" s="551"/>
      <c r="F36" s="551"/>
      <c r="G36" s="551"/>
      <c r="H36" s="551"/>
      <c r="I36" s="551"/>
      <c r="J36" s="551"/>
      <c r="K36" s="551"/>
      <c r="L36" s="551"/>
      <c r="M36" s="551"/>
      <c r="N36" s="551"/>
      <c r="O36" s="551"/>
      <c r="P36" s="551"/>
      <c r="Q36" s="551"/>
      <c r="R36" s="551"/>
      <c r="S36" s="551"/>
      <c r="T36" s="551"/>
      <c r="U36" s="551"/>
      <c r="V36" s="551"/>
      <c r="W36" s="552"/>
      <c r="X36" s="540"/>
    </row>
    <row r="37" spans="1:24" ht="15">
      <c r="A37" s="549">
        <v>2.5</v>
      </c>
      <c r="B37" s="457" t="s">
        <v>130</v>
      </c>
      <c r="C37" s="335">
        <f>Entrada!D77*(C15+C22+C29)</f>
        <v>143486.2816632</v>
      </c>
      <c r="D37" s="335"/>
      <c r="E37" s="551"/>
      <c r="F37" s="551"/>
      <c r="G37" s="551"/>
      <c r="H37" s="551"/>
      <c r="I37" s="551"/>
      <c r="J37" s="551"/>
      <c r="K37" s="551"/>
      <c r="L37" s="551"/>
      <c r="M37" s="551"/>
      <c r="N37" s="551"/>
      <c r="O37" s="551"/>
      <c r="P37" s="551"/>
      <c r="Q37" s="551"/>
      <c r="R37" s="551"/>
      <c r="S37" s="551"/>
      <c r="T37" s="551"/>
      <c r="U37" s="551"/>
      <c r="V37" s="551"/>
      <c r="W37" s="552"/>
      <c r="X37" s="540"/>
    </row>
    <row r="38" spans="1:24" ht="8.25" customHeight="1">
      <c r="A38" s="549"/>
      <c r="B38" s="457"/>
      <c r="C38" s="335"/>
      <c r="D38" s="232"/>
      <c r="E38" s="551"/>
      <c r="F38" s="551"/>
      <c r="G38" s="551"/>
      <c r="H38" s="551"/>
      <c r="I38" s="551"/>
      <c r="J38" s="551"/>
      <c r="K38" s="551"/>
      <c r="L38" s="551"/>
      <c r="M38" s="551"/>
      <c r="N38" s="551"/>
      <c r="O38" s="551"/>
      <c r="P38" s="551"/>
      <c r="Q38" s="551"/>
      <c r="R38" s="551"/>
      <c r="S38" s="551"/>
      <c r="T38" s="551"/>
      <c r="U38" s="551"/>
      <c r="V38" s="551"/>
      <c r="W38" s="552"/>
      <c r="X38" s="540"/>
    </row>
    <row r="39" spans="1:24" ht="15">
      <c r="A39" s="546">
        <v>3</v>
      </c>
      <c r="B39" s="547" t="s">
        <v>210</v>
      </c>
      <c r="C39" s="331">
        <f>SUM(C40:C42)</f>
        <v>478137.19002000004</v>
      </c>
      <c r="D39" s="331"/>
      <c r="E39" s="551"/>
      <c r="F39" s="551"/>
      <c r="G39" s="551"/>
      <c r="H39" s="551"/>
      <c r="I39" s="551"/>
      <c r="J39" s="551"/>
      <c r="K39" s="551"/>
      <c r="L39" s="551"/>
      <c r="M39" s="551"/>
      <c r="N39" s="551"/>
      <c r="O39" s="551"/>
      <c r="P39" s="551"/>
      <c r="Q39" s="551"/>
      <c r="R39" s="551"/>
      <c r="S39" s="551"/>
      <c r="T39" s="551"/>
      <c r="U39" s="551"/>
      <c r="V39" s="551"/>
      <c r="W39" s="552"/>
      <c r="X39" s="540"/>
    </row>
    <row r="40" spans="1:24" ht="15">
      <c r="A40" s="549">
        <v>3.1</v>
      </c>
      <c r="B40" s="457" t="s">
        <v>139</v>
      </c>
      <c r="C40" s="335">
        <f>Entrada!D79</f>
        <v>3378.7193999999995</v>
      </c>
      <c r="D40" s="232"/>
      <c r="E40" s="551"/>
      <c r="F40" s="551"/>
      <c r="G40" s="551"/>
      <c r="H40" s="551"/>
      <c r="I40" s="551"/>
      <c r="J40" s="551"/>
      <c r="K40" s="551"/>
      <c r="L40" s="551"/>
      <c r="M40" s="555"/>
      <c r="N40" s="551"/>
      <c r="O40" s="551"/>
      <c r="P40" s="551"/>
      <c r="Q40" s="551"/>
      <c r="R40" s="551"/>
      <c r="S40" s="551"/>
      <c r="T40" s="551"/>
      <c r="U40" s="551"/>
      <c r="V40" s="551"/>
      <c r="W40" s="552"/>
      <c r="X40" s="540"/>
    </row>
    <row r="41" spans="1:24" ht="15">
      <c r="A41" s="549">
        <v>3.2</v>
      </c>
      <c r="B41" s="457" t="s">
        <v>132</v>
      </c>
      <c r="C41" s="335">
        <f>Entrada!D80</f>
        <v>424045.314</v>
      </c>
      <c r="D41" s="232"/>
      <c r="E41" s="551"/>
      <c r="F41" s="551"/>
      <c r="G41" s="551"/>
      <c r="H41" s="551"/>
      <c r="I41" s="551"/>
      <c r="J41" s="551"/>
      <c r="K41" s="551"/>
      <c r="L41" s="551"/>
      <c r="M41" s="555"/>
      <c r="N41" s="551"/>
      <c r="O41" s="551"/>
      <c r="P41" s="551"/>
      <c r="Q41" s="551"/>
      <c r="R41" s="551"/>
      <c r="S41" s="551"/>
      <c r="T41" s="551"/>
      <c r="U41" s="551"/>
      <c r="V41" s="551"/>
      <c r="W41" s="552"/>
      <c r="X41" s="540"/>
    </row>
    <row r="42" spans="1:24" ht="12.75" customHeight="1">
      <c r="A42" s="549">
        <v>3.3</v>
      </c>
      <c r="B42" s="457" t="s">
        <v>381</v>
      </c>
      <c r="C42" s="335">
        <f>Entrada!D81</f>
        <v>50713.15662</v>
      </c>
      <c r="D42" s="232"/>
      <c r="E42" s="551"/>
      <c r="F42" s="551"/>
      <c r="G42" s="551"/>
      <c r="H42" s="551"/>
      <c r="I42" s="551"/>
      <c r="J42" s="551"/>
      <c r="K42" s="551"/>
      <c r="L42" s="551"/>
      <c r="M42" s="555"/>
      <c r="N42" s="551"/>
      <c r="O42" s="551"/>
      <c r="P42" s="551"/>
      <c r="Q42" s="551"/>
      <c r="R42" s="551"/>
      <c r="S42" s="551"/>
      <c r="T42" s="551"/>
      <c r="U42" s="551"/>
      <c r="V42" s="551"/>
      <c r="W42" s="552"/>
      <c r="X42" s="540"/>
    </row>
    <row r="43" spans="1:24" ht="15">
      <c r="A43" s="556"/>
      <c r="B43" s="547" t="s">
        <v>64</v>
      </c>
      <c r="C43" s="335"/>
      <c r="D43" s="551"/>
      <c r="E43" s="551"/>
      <c r="F43" s="551"/>
      <c r="G43" s="551"/>
      <c r="H43" s="551"/>
      <c r="I43" s="551"/>
      <c r="J43" s="551"/>
      <c r="K43" s="551"/>
      <c r="L43" s="551"/>
      <c r="M43" s="551"/>
      <c r="N43" s="551"/>
      <c r="O43" s="551"/>
      <c r="P43" s="551"/>
      <c r="Q43" s="551"/>
      <c r="R43" s="551"/>
      <c r="S43" s="551"/>
      <c r="T43" s="551"/>
      <c r="U43" s="551"/>
      <c r="V43" s="551"/>
      <c r="W43" s="552">
        <f>-(C13)*(10/30)</f>
        <v>-717431.4083477333</v>
      </c>
      <c r="X43" s="540"/>
    </row>
    <row r="44" spans="1:24" ht="8.25" customHeight="1">
      <c r="A44" s="556"/>
      <c r="B44" s="457"/>
      <c r="C44" s="551"/>
      <c r="D44" s="551"/>
      <c r="E44" s="551"/>
      <c r="F44" s="551"/>
      <c r="G44" s="551"/>
      <c r="H44" s="551"/>
      <c r="I44" s="551"/>
      <c r="J44" s="551"/>
      <c r="K44" s="551"/>
      <c r="L44" s="551"/>
      <c r="M44" s="551"/>
      <c r="N44" s="551"/>
      <c r="O44" s="551"/>
      <c r="P44" s="551"/>
      <c r="Q44" s="551"/>
      <c r="R44" s="551"/>
      <c r="S44" s="551"/>
      <c r="T44" s="551"/>
      <c r="U44" s="551"/>
      <c r="V44" s="551"/>
      <c r="W44" s="552"/>
      <c r="X44" s="540"/>
    </row>
    <row r="45" spans="1:24" ht="15">
      <c r="A45" s="557"/>
      <c r="B45" s="564" t="s">
        <v>438</v>
      </c>
      <c r="C45" s="565">
        <f>(C9+C13+C39)*sensInver</f>
        <v>2905094.0703232</v>
      </c>
      <c r="D45" s="558"/>
      <c r="E45" s="558"/>
      <c r="F45" s="558"/>
      <c r="G45" s="558"/>
      <c r="H45" s="558"/>
      <c r="I45" s="558"/>
      <c r="J45" s="558"/>
      <c r="K45" s="558"/>
      <c r="L45" s="558"/>
      <c r="M45" s="558"/>
      <c r="N45" s="558"/>
      <c r="O45" s="558"/>
      <c r="P45" s="558"/>
      <c r="Q45" s="558"/>
      <c r="R45" s="558"/>
      <c r="S45" s="558"/>
      <c r="T45" s="558"/>
      <c r="U45" s="558"/>
      <c r="V45" s="558"/>
      <c r="W45" s="559">
        <f>(SUM(W36:W43)+W10)</f>
        <v>-717431.4083477333</v>
      </c>
      <c r="X45" s="540"/>
    </row>
    <row r="46" spans="1:24" ht="15">
      <c r="A46" s="569" t="s">
        <v>1</v>
      </c>
      <c r="B46" s="570" t="s">
        <v>141</v>
      </c>
      <c r="C46" s="567"/>
      <c r="D46" s="567"/>
      <c r="E46" s="567"/>
      <c r="F46" s="567"/>
      <c r="G46" s="567"/>
      <c r="H46" s="567"/>
      <c r="I46" s="567"/>
      <c r="J46" s="567"/>
      <c r="K46" s="567"/>
      <c r="L46" s="567"/>
      <c r="M46" s="567"/>
      <c r="N46" s="567"/>
      <c r="O46" s="567"/>
      <c r="P46" s="567"/>
      <c r="Q46" s="567"/>
      <c r="R46" s="567"/>
      <c r="S46" s="567"/>
      <c r="T46" s="567"/>
      <c r="U46" s="567"/>
      <c r="V46" s="567"/>
      <c r="W46" s="568"/>
      <c r="X46" s="540"/>
    </row>
    <row r="47" spans="1:24" ht="15">
      <c r="A47" s="574"/>
      <c r="B47" s="457" t="s">
        <v>40</v>
      </c>
      <c r="C47" s="232"/>
      <c r="D47" s="551">
        <f>_xlfn.IFERROR('F3-SC'!C28*TarC/100*1.18*SenPcom,0)</f>
        <v>59166.05649144031</v>
      </c>
      <c r="E47" s="551">
        <f>_xlfn.IFERROR('F3-SC'!D28*TarC/100*1.18*SenPcom,0)</f>
        <v>60249.605683116846</v>
      </c>
      <c r="F47" s="551">
        <f>_xlfn.IFERROR('F3-SC'!E28*TarC/100*1.18*SenPcom,0)</f>
        <v>61185.01216114852</v>
      </c>
      <c r="G47" s="551">
        <f>_xlfn.IFERROR('F3-SC'!F28*TarC/100*1.18*SenPcom,0)</f>
        <v>62290.49508929755</v>
      </c>
      <c r="H47" s="551">
        <f>_xlfn.IFERROR('F3-SC'!G28*TarC/100*1.18*SenPcom,0)</f>
        <v>63364.9357711597</v>
      </c>
      <c r="I47" s="551">
        <f>_xlfn.IFERROR('F3-SC'!H28*TarC/100*1.18*SenPcom,0)</f>
        <v>64492.15425255937</v>
      </c>
      <c r="J47" s="551">
        <f>_xlfn.IFERROR('F3-SC'!I28*TarC/100*1.18*SenPcom,0)</f>
        <v>65631.04598170922</v>
      </c>
      <c r="K47" s="551">
        <f>_xlfn.IFERROR('F3-SC'!J28*TarC/100*1.18*SenPcom,0)</f>
        <v>66781.72909953854</v>
      </c>
      <c r="L47" s="551">
        <f>_xlfn.IFERROR('F3-SC'!K28*TarC/100*1.18*SenPcom,0)</f>
        <v>67944.32284976685</v>
      </c>
      <c r="M47" s="551">
        <f>_xlfn.IFERROR('F3-SC'!L28*TarC/100*1.18*SenPcom,0)</f>
        <v>69118.94758870885</v>
      </c>
      <c r="N47" s="551">
        <f>_xlfn.IFERROR('F3-SC'!M28*TarC/100*1.18*SenPcom,0)</f>
        <v>70305.72479516384</v>
      </c>
      <c r="O47" s="551">
        <f>_xlfn.IFERROR('F3-SC'!N28*TarC/100*1.18*SenPcom,0)</f>
        <v>71504.77708039018</v>
      </c>
      <c r="P47" s="551">
        <f>_xlfn.IFERROR('F3-SC'!O28*TarC/100*1.18*SenPcom,0)</f>
        <v>72716.22819816567</v>
      </c>
      <c r="Q47" s="551">
        <f>_xlfn.IFERROR('F3-SC'!P28*TarC/100*1.18*SenPcom,0)</f>
        <v>74145.97196464351</v>
      </c>
      <c r="R47" s="551">
        <f>_xlfn.IFERROR('F3-SC'!Q28*TarC/100*1.18*SenPcom,0)</f>
        <v>75382.59662974947</v>
      </c>
      <c r="S47" s="551">
        <f>_xlfn.IFERROR('F3-SC'!R28*TarC/100*1.18*SenPcom,0)</f>
        <v>76726.92462632878</v>
      </c>
      <c r="T47" s="551">
        <f>_xlfn.IFERROR('F3-SC'!S28*TarC/100*1.18*SenPcom,0)</f>
        <v>77989.92478129068</v>
      </c>
      <c r="U47" s="551">
        <f>_xlfn.IFERROR('F3-SC'!T28*TarC/100*1.18*SenPcom,0)</f>
        <v>79435.28840726342</v>
      </c>
      <c r="V47" s="551">
        <f>_xlfn.IFERROR('F3-SC'!U28*TarC/100*1.18*SenPcom,0)</f>
        <v>80822.22323125311</v>
      </c>
      <c r="W47" s="552">
        <f>_xlfn.IFERROR('F3-SC'!V28*TarC/100*1.18*SenPcom,0)</f>
        <v>82223.88278122591</v>
      </c>
      <c r="X47" s="540"/>
    </row>
    <row r="48" spans="1:24" ht="15">
      <c r="A48" s="556"/>
      <c r="B48" s="457" t="s">
        <v>6</v>
      </c>
      <c r="C48" s="551"/>
      <c r="D48" s="551">
        <f>C13*sensInver*COyM*senCoym</f>
        <v>47350.472950950396</v>
      </c>
      <c r="E48" s="551">
        <f>+D48</f>
        <v>47350.472950950396</v>
      </c>
      <c r="F48" s="551">
        <f aca="true" t="shared" si="1" ref="F48:W48">+E48</f>
        <v>47350.472950950396</v>
      </c>
      <c r="G48" s="551">
        <f t="shared" si="1"/>
        <v>47350.472950950396</v>
      </c>
      <c r="H48" s="551">
        <f t="shared" si="1"/>
        <v>47350.472950950396</v>
      </c>
      <c r="I48" s="551">
        <f t="shared" si="1"/>
        <v>47350.472950950396</v>
      </c>
      <c r="J48" s="551">
        <f t="shared" si="1"/>
        <v>47350.472950950396</v>
      </c>
      <c r="K48" s="551">
        <f t="shared" si="1"/>
        <v>47350.472950950396</v>
      </c>
      <c r="L48" s="551">
        <f t="shared" si="1"/>
        <v>47350.472950950396</v>
      </c>
      <c r="M48" s="551">
        <f t="shared" si="1"/>
        <v>47350.472950950396</v>
      </c>
      <c r="N48" s="551">
        <f t="shared" si="1"/>
        <v>47350.472950950396</v>
      </c>
      <c r="O48" s="551">
        <f t="shared" si="1"/>
        <v>47350.472950950396</v>
      </c>
      <c r="P48" s="551">
        <f t="shared" si="1"/>
        <v>47350.472950950396</v>
      </c>
      <c r="Q48" s="551">
        <f t="shared" si="1"/>
        <v>47350.472950950396</v>
      </c>
      <c r="R48" s="551">
        <f t="shared" si="1"/>
        <v>47350.472950950396</v>
      </c>
      <c r="S48" s="551">
        <f t="shared" si="1"/>
        <v>47350.472950950396</v>
      </c>
      <c r="T48" s="551">
        <f t="shared" si="1"/>
        <v>47350.472950950396</v>
      </c>
      <c r="U48" s="551">
        <f t="shared" si="1"/>
        <v>47350.472950950396</v>
      </c>
      <c r="V48" s="551">
        <f t="shared" si="1"/>
        <v>47350.472950950396</v>
      </c>
      <c r="W48" s="552">
        <f t="shared" si="1"/>
        <v>47350.472950950396</v>
      </c>
      <c r="X48" s="540"/>
    </row>
    <row r="49" spans="1:24" ht="15">
      <c r="A49" s="556"/>
      <c r="B49" s="457" t="s">
        <v>7</v>
      </c>
      <c r="C49" s="551"/>
      <c r="D49" s="551">
        <f>D68</f>
        <v>0</v>
      </c>
      <c r="E49" s="551">
        <f aca="true" t="shared" si="2" ref="E49:W49">E68</f>
        <v>0</v>
      </c>
      <c r="F49" s="551">
        <f t="shared" si="2"/>
        <v>0</v>
      </c>
      <c r="G49" s="551">
        <f t="shared" si="2"/>
        <v>0</v>
      </c>
      <c r="H49" s="551">
        <f t="shared" si="2"/>
        <v>0</v>
      </c>
      <c r="I49" s="551">
        <f t="shared" si="2"/>
        <v>0</v>
      </c>
      <c r="J49" s="551">
        <f t="shared" si="2"/>
        <v>0</v>
      </c>
      <c r="K49" s="551">
        <f t="shared" si="2"/>
        <v>0</v>
      </c>
      <c r="L49" s="551">
        <f t="shared" si="2"/>
        <v>0</v>
      </c>
      <c r="M49" s="551">
        <f t="shared" si="2"/>
        <v>0</v>
      </c>
      <c r="N49" s="551">
        <f t="shared" si="2"/>
        <v>0</v>
      </c>
      <c r="O49" s="551">
        <f t="shared" si="2"/>
        <v>0</v>
      </c>
      <c r="P49" s="551">
        <f t="shared" si="2"/>
        <v>0</v>
      </c>
      <c r="Q49" s="551">
        <f t="shared" si="2"/>
        <v>0</v>
      </c>
      <c r="R49" s="551">
        <f t="shared" si="2"/>
        <v>0</v>
      </c>
      <c r="S49" s="551">
        <f t="shared" si="2"/>
        <v>0</v>
      </c>
      <c r="T49" s="551">
        <f t="shared" si="2"/>
        <v>0</v>
      </c>
      <c r="U49" s="551">
        <f t="shared" si="2"/>
        <v>0</v>
      </c>
      <c r="V49" s="551">
        <f t="shared" si="2"/>
        <v>0</v>
      </c>
      <c r="W49" s="552">
        <f t="shared" si="2"/>
        <v>0</v>
      </c>
      <c r="X49" s="540"/>
    </row>
    <row r="50" spans="1:24" ht="15">
      <c r="A50" s="571"/>
      <c r="B50" s="354" t="s">
        <v>144</v>
      </c>
      <c r="C50" s="572"/>
      <c r="D50" s="572">
        <f>SUM(D47:D49)</f>
        <v>106516.5294423907</v>
      </c>
      <c r="E50" s="572">
        <f aca="true" t="shared" si="3" ref="E50:W50">SUM(E47:E49)</f>
        <v>107600.07863406723</v>
      </c>
      <c r="F50" s="572">
        <f t="shared" si="3"/>
        <v>108535.48511209892</v>
      </c>
      <c r="G50" s="572">
        <f t="shared" si="3"/>
        <v>109640.96804024794</v>
      </c>
      <c r="H50" s="572">
        <f t="shared" si="3"/>
        <v>110715.40872211009</v>
      </c>
      <c r="I50" s="572">
        <f t="shared" si="3"/>
        <v>111842.62720350976</v>
      </c>
      <c r="J50" s="572">
        <f t="shared" si="3"/>
        <v>112981.51893265962</v>
      </c>
      <c r="K50" s="572">
        <f t="shared" si="3"/>
        <v>114132.20205048894</v>
      </c>
      <c r="L50" s="572">
        <f t="shared" si="3"/>
        <v>115294.79580071724</v>
      </c>
      <c r="M50" s="572">
        <f t="shared" si="3"/>
        <v>116469.42053965924</v>
      </c>
      <c r="N50" s="572">
        <f t="shared" si="3"/>
        <v>117656.19774611424</v>
      </c>
      <c r="O50" s="572">
        <f t="shared" si="3"/>
        <v>118855.25003134058</v>
      </c>
      <c r="P50" s="572">
        <f t="shared" si="3"/>
        <v>120066.70114911607</v>
      </c>
      <c r="Q50" s="572">
        <f t="shared" si="3"/>
        <v>121496.44491559391</v>
      </c>
      <c r="R50" s="572">
        <f t="shared" si="3"/>
        <v>122733.06958069987</v>
      </c>
      <c r="S50" s="572">
        <f t="shared" si="3"/>
        <v>124077.39757727917</v>
      </c>
      <c r="T50" s="572">
        <f t="shared" si="3"/>
        <v>125340.39773224108</v>
      </c>
      <c r="U50" s="572">
        <f t="shared" si="3"/>
        <v>126785.76135821381</v>
      </c>
      <c r="V50" s="572">
        <f t="shared" si="3"/>
        <v>128172.69618220351</v>
      </c>
      <c r="W50" s="573">
        <f t="shared" si="3"/>
        <v>129574.35573217631</v>
      </c>
      <c r="X50" s="540"/>
    </row>
    <row r="51" spans="1:24" ht="15">
      <c r="A51" s="569" t="s">
        <v>8</v>
      </c>
      <c r="B51" s="570" t="s">
        <v>142</v>
      </c>
      <c r="C51" s="567"/>
      <c r="D51" s="544"/>
      <c r="E51" s="544"/>
      <c r="F51" s="544"/>
      <c r="G51" s="544"/>
      <c r="H51" s="544"/>
      <c r="I51" s="544"/>
      <c r="J51" s="544"/>
      <c r="K51" s="544"/>
      <c r="L51" s="544"/>
      <c r="M51" s="544"/>
      <c r="N51" s="544"/>
      <c r="O51" s="544"/>
      <c r="P51" s="544"/>
      <c r="Q51" s="544"/>
      <c r="R51" s="544"/>
      <c r="S51" s="544"/>
      <c r="T51" s="544"/>
      <c r="U51" s="544"/>
      <c r="V51" s="544"/>
      <c r="W51" s="545"/>
      <c r="X51" s="540"/>
    </row>
    <row r="52" spans="1:24" ht="15">
      <c r="A52" s="574"/>
      <c r="B52" s="457" t="s">
        <v>40</v>
      </c>
      <c r="C52" s="232"/>
      <c r="D52" s="551"/>
      <c r="E52" s="551"/>
      <c r="F52" s="551"/>
      <c r="G52" s="551"/>
      <c r="H52" s="551"/>
      <c r="I52" s="551"/>
      <c r="J52" s="551"/>
      <c r="K52" s="551"/>
      <c r="L52" s="551"/>
      <c r="M52" s="551"/>
      <c r="N52" s="551"/>
      <c r="O52" s="551"/>
      <c r="P52" s="551"/>
      <c r="Q52" s="551"/>
      <c r="R52" s="551"/>
      <c r="S52" s="551"/>
      <c r="T52" s="551"/>
      <c r="U52" s="551"/>
      <c r="V52" s="551"/>
      <c r="W52" s="552"/>
      <c r="X52" s="540"/>
    </row>
    <row r="53" spans="1:24" ht="15">
      <c r="A53" s="574"/>
      <c r="B53" s="457" t="s">
        <v>6</v>
      </c>
      <c r="C53" s="232"/>
      <c r="D53" s="551"/>
      <c r="E53" s="551"/>
      <c r="F53" s="551"/>
      <c r="G53" s="551"/>
      <c r="H53" s="551"/>
      <c r="I53" s="551"/>
      <c r="J53" s="551"/>
      <c r="K53" s="551"/>
      <c r="L53" s="551"/>
      <c r="M53" s="551"/>
      <c r="N53" s="551"/>
      <c r="O53" s="551"/>
      <c r="P53" s="551"/>
      <c r="Q53" s="551"/>
      <c r="R53" s="551"/>
      <c r="S53" s="551"/>
      <c r="T53" s="551"/>
      <c r="U53" s="551"/>
      <c r="V53" s="551"/>
      <c r="W53" s="552"/>
      <c r="X53" s="540"/>
    </row>
    <row r="54" spans="1:24" ht="15">
      <c r="A54" s="556"/>
      <c r="B54" s="457" t="s">
        <v>7</v>
      </c>
      <c r="C54" s="551"/>
      <c r="D54" s="551"/>
      <c r="E54" s="551"/>
      <c r="F54" s="551"/>
      <c r="G54" s="551"/>
      <c r="H54" s="551"/>
      <c r="I54" s="551"/>
      <c r="J54" s="551"/>
      <c r="K54" s="551"/>
      <c r="L54" s="551"/>
      <c r="M54" s="551"/>
      <c r="N54" s="551"/>
      <c r="O54" s="551"/>
      <c r="P54" s="551"/>
      <c r="Q54" s="551"/>
      <c r="R54" s="551"/>
      <c r="S54" s="551"/>
      <c r="T54" s="551"/>
      <c r="U54" s="551"/>
      <c r="V54" s="551"/>
      <c r="W54" s="552"/>
      <c r="X54" s="540"/>
    </row>
    <row r="55" spans="1:24" ht="15">
      <c r="A55" s="556"/>
      <c r="B55" s="354" t="s">
        <v>144</v>
      </c>
      <c r="C55" s="572"/>
      <c r="D55" s="572">
        <f>SUM(D52:D54)</f>
        <v>0</v>
      </c>
      <c r="E55" s="572">
        <f aca="true" t="shared" si="4" ref="E55:W55">SUM(E52:E54)</f>
        <v>0</v>
      </c>
      <c r="F55" s="572">
        <f t="shared" si="4"/>
        <v>0</v>
      </c>
      <c r="G55" s="572">
        <f t="shared" si="4"/>
        <v>0</v>
      </c>
      <c r="H55" s="572">
        <f t="shared" si="4"/>
        <v>0</v>
      </c>
      <c r="I55" s="572">
        <f t="shared" si="4"/>
        <v>0</v>
      </c>
      <c r="J55" s="572">
        <f t="shared" si="4"/>
        <v>0</v>
      </c>
      <c r="K55" s="572">
        <f t="shared" si="4"/>
        <v>0</v>
      </c>
      <c r="L55" s="572">
        <f t="shared" si="4"/>
        <v>0</v>
      </c>
      <c r="M55" s="572">
        <f t="shared" si="4"/>
        <v>0</v>
      </c>
      <c r="N55" s="572">
        <f t="shared" si="4"/>
        <v>0</v>
      </c>
      <c r="O55" s="572">
        <f t="shared" si="4"/>
        <v>0</v>
      </c>
      <c r="P55" s="572">
        <f t="shared" si="4"/>
        <v>0</v>
      </c>
      <c r="Q55" s="572">
        <f t="shared" si="4"/>
        <v>0</v>
      </c>
      <c r="R55" s="572">
        <f t="shared" si="4"/>
        <v>0</v>
      </c>
      <c r="S55" s="572">
        <f t="shared" si="4"/>
        <v>0</v>
      </c>
      <c r="T55" s="572">
        <f t="shared" si="4"/>
        <v>0</v>
      </c>
      <c r="U55" s="572">
        <f t="shared" si="4"/>
        <v>0</v>
      </c>
      <c r="V55" s="572">
        <f t="shared" si="4"/>
        <v>0</v>
      </c>
      <c r="W55" s="573">
        <f t="shared" si="4"/>
        <v>0</v>
      </c>
      <c r="X55" s="540"/>
    </row>
    <row r="56" spans="1:24" ht="15">
      <c r="A56" s="571"/>
      <c r="B56" s="575" t="s">
        <v>9</v>
      </c>
      <c r="C56" s="572">
        <f>C45+C50</f>
        <v>2905094.0703232</v>
      </c>
      <c r="D56" s="572">
        <f aca="true" t="shared" si="5" ref="D56:W56">D45+D50-D55</f>
        <v>106516.5294423907</v>
      </c>
      <c r="E56" s="572">
        <f t="shared" si="5"/>
        <v>107600.07863406723</v>
      </c>
      <c r="F56" s="572">
        <f t="shared" si="5"/>
        <v>108535.48511209892</v>
      </c>
      <c r="G56" s="572">
        <f t="shared" si="5"/>
        <v>109640.96804024794</v>
      </c>
      <c r="H56" s="572">
        <f t="shared" si="5"/>
        <v>110715.40872211009</v>
      </c>
      <c r="I56" s="572">
        <f t="shared" si="5"/>
        <v>111842.62720350976</v>
      </c>
      <c r="J56" s="572">
        <f t="shared" si="5"/>
        <v>112981.51893265962</v>
      </c>
      <c r="K56" s="572">
        <f t="shared" si="5"/>
        <v>114132.20205048894</v>
      </c>
      <c r="L56" s="572">
        <f t="shared" si="5"/>
        <v>115294.79580071724</v>
      </c>
      <c r="M56" s="572">
        <f t="shared" si="5"/>
        <v>116469.42053965924</v>
      </c>
      <c r="N56" s="572">
        <f t="shared" si="5"/>
        <v>117656.19774611424</v>
      </c>
      <c r="O56" s="572">
        <f t="shared" si="5"/>
        <v>118855.25003134058</v>
      </c>
      <c r="P56" s="572">
        <f t="shared" si="5"/>
        <v>120066.70114911607</v>
      </c>
      <c r="Q56" s="572">
        <f t="shared" si="5"/>
        <v>121496.44491559391</v>
      </c>
      <c r="R56" s="572">
        <f t="shared" si="5"/>
        <v>122733.06958069987</v>
      </c>
      <c r="S56" s="572">
        <f t="shared" si="5"/>
        <v>124077.39757727917</v>
      </c>
      <c r="T56" s="572">
        <f t="shared" si="5"/>
        <v>125340.39773224108</v>
      </c>
      <c r="U56" s="572">
        <f t="shared" si="5"/>
        <v>126785.76135821381</v>
      </c>
      <c r="V56" s="572">
        <f t="shared" si="5"/>
        <v>128172.69618220351</v>
      </c>
      <c r="W56" s="573">
        <f t="shared" si="5"/>
        <v>-587857.052615557</v>
      </c>
      <c r="X56" s="540"/>
    </row>
    <row r="57" spans="1:24" ht="15.75" thickBot="1">
      <c r="A57" s="576"/>
      <c r="B57" s="577"/>
      <c r="C57" s="578"/>
      <c r="D57" s="578"/>
      <c r="E57" s="578"/>
      <c r="F57" s="578"/>
      <c r="G57" s="578"/>
      <c r="H57" s="578"/>
      <c r="I57" s="578"/>
      <c r="J57" s="578"/>
      <c r="K57" s="578"/>
      <c r="L57" s="578"/>
      <c r="M57" s="578"/>
      <c r="N57" s="578"/>
      <c r="O57" s="578"/>
      <c r="P57" s="578"/>
      <c r="Q57" s="578"/>
      <c r="R57" s="578"/>
      <c r="S57" s="578"/>
      <c r="T57" s="578"/>
      <c r="U57" s="578"/>
      <c r="V57" s="578"/>
      <c r="W57" s="579"/>
      <c r="X57" s="540"/>
    </row>
    <row r="58" spans="1:24" ht="13.5" customHeight="1">
      <c r="A58" s="325"/>
      <c r="B58" s="326"/>
      <c r="C58" s="597"/>
      <c r="D58" s="597"/>
      <c r="E58" s="597"/>
      <c r="F58" s="597"/>
      <c r="G58" s="597"/>
      <c r="H58" s="597"/>
      <c r="I58" s="597"/>
      <c r="J58" s="597"/>
      <c r="K58" s="597"/>
      <c r="L58" s="597"/>
      <c r="M58" s="597"/>
      <c r="N58" s="597"/>
      <c r="O58" s="597"/>
      <c r="P58" s="597"/>
      <c r="Q58" s="597"/>
      <c r="R58" s="597"/>
      <c r="S58" s="597"/>
      <c r="T58" s="597"/>
      <c r="U58" s="597"/>
      <c r="V58" s="597"/>
      <c r="W58" s="598"/>
      <c r="X58" s="540"/>
    </row>
    <row r="59" spans="1:24" ht="15.75">
      <c r="A59" s="325"/>
      <c r="B59" s="599" t="s">
        <v>14</v>
      </c>
      <c r="C59" s="597"/>
      <c r="D59" s="597"/>
      <c r="E59" s="597"/>
      <c r="F59" s="597"/>
      <c r="G59" s="597"/>
      <c r="H59" s="597"/>
      <c r="I59" s="597"/>
      <c r="J59" s="597"/>
      <c r="K59" s="597"/>
      <c r="L59" s="597"/>
      <c r="M59" s="597"/>
      <c r="N59" s="597"/>
      <c r="O59" s="597"/>
      <c r="P59" s="597"/>
      <c r="Q59" s="597"/>
      <c r="R59" s="597"/>
      <c r="S59" s="597"/>
      <c r="T59" s="597"/>
      <c r="U59" s="597"/>
      <c r="V59" s="597"/>
      <c r="W59" s="598"/>
      <c r="X59" s="540"/>
    </row>
    <row r="60" spans="1:24" ht="15">
      <c r="A60" s="325"/>
      <c r="B60" s="326"/>
      <c r="C60" s="597"/>
      <c r="D60" s="597"/>
      <c r="E60" s="597"/>
      <c r="F60" s="597"/>
      <c r="G60" s="597"/>
      <c r="H60" s="597"/>
      <c r="I60" s="597"/>
      <c r="J60" s="597"/>
      <c r="K60" s="597"/>
      <c r="L60" s="597"/>
      <c r="M60" s="597"/>
      <c r="N60" s="597"/>
      <c r="O60" s="597"/>
      <c r="P60" s="597"/>
      <c r="Q60" s="597"/>
      <c r="R60" s="597"/>
      <c r="S60" s="597"/>
      <c r="T60" s="597"/>
      <c r="U60" s="597"/>
      <c r="V60" s="597"/>
      <c r="W60" s="598"/>
      <c r="X60" s="540"/>
    </row>
    <row r="61" spans="1:24" ht="15">
      <c r="A61" s="325"/>
      <c r="B61" s="600" t="s">
        <v>14</v>
      </c>
      <c r="C61" s="601">
        <f>C7</f>
        <v>2011</v>
      </c>
      <c r="D61" s="601">
        <f>D7</f>
        <v>2012</v>
      </c>
      <c r="E61" s="601">
        <f>+D61+1</f>
        <v>2013</v>
      </c>
      <c r="F61" s="601">
        <f aca="true" t="shared" si="6" ref="F61:W61">+E61+1</f>
        <v>2014</v>
      </c>
      <c r="G61" s="601">
        <f t="shared" si="6"/>
        <v>2015</v>
      </c>
      <c r="H61" s="601">
        <f t="shared" si="6"/>
        <v>2016</v>
      </c>
      <c r="I61" s="601">
        <f t="shared" si="6"/>
        <v>2017</v>
      </c>
      <c r="J61" s="601">
        <f t="shared" si="6"/>
        <v>2018</v>
      </c>
      <c r="K61" s="601">
        <f t="shared" si="6"/>
        <v>2019</v>
      </c>
      <c r="L61" s="601">
        <f t="shared" si="6"/>
        <v>2020</v>
      </c>
      <c r="M61" s="601">
        <f t="shared" si="6"/>
        <v>2021</v>
      </c>
      <c r="N61" s="601">
        <f t="shared" si="6"/>
        <v>2022</v>
      </c>
      <c r="O61" s="601">
        <f t="shared" si="6"/>
        <v>2023</v>
      </c>
      <c r="P61" s="601">
        <f t="shared" si="6"/>
        <v>2024</v>
      </c>
      <c r="Q61" s="601">
        <f t="shared" si="6"/>
        <v>2025</v>
      </c>
      <c r="R61" s="601">
        <f t="shared" si="6"/>
        <v>2026</v>
      </c>
      <c r="S61" s="601">
        <f t="shared" si="6"/>
        <v>2027</v>
      </c>
      <c r="T61" s="601">
        <f t="shared" si="6"/>
        <v>2028</v>
      </c>
      <c r="U61" s="601">
        <f t="shared" si="6"/>
        <v>2029</v>
      </c>
      <c r="V61" s="601">
        <f t="shared" si="6"/>
        <v>2030</v>
      </c>
      <c r="W61" s="602">
        <f t="shared" si="6"/>
        <v>2031</v>
      </c>
      <c r="X61" s="540"/>
    </row>
    <row r="62" spans="1:24" ht="15">
      <c r="A62" s="325"/>
      <c r="B62" s="600" t="s">
        <v>27</v>
      </c>
      <c r="C62" s="601">
        <v>0</v>
      </c>
      <c r="D62" s="601">
        <v>1</v>
      </c>
      <c r="E62" s="601">
        <v>2</v>
      </c>
      <c r="F62" s="601">
        <v>3</v>
      </c>
      <c r="G62" s="601">
        <v>4</v>
      </c>
      <c r="H62" s="601">
        <v>5</v>
      </c>
      <c r="I62" s="601">
        <v>6</v>
      </c>
      <c r="J62" s="601">
        <v>7</v>
      </c>
      <c r="K62" s="601">
        <v>8</v>
      </c>
      <c r="L62" s="601">
        <v>9</v>
      </c>
      <c r="M62" s="601">
        <v>10</v>
      </c>
      <c r="N62" s="601">
        <v>11</v>
      </c>
      <c r="O62" s="601">
        <v>12</v>
      </c>
      <c r="P62" s="601">
        <v>13</v>
      </c>
      <c r="Q62" s="601">
        <v>14</v>
      </c>
      <c r="R62" s="601">
        <v>15</v>
      </c>
      <c r="S62" s="601">
        <v>16</v>
      </c>
      <c r="T62" s="601">
        <v>17</v>
      </c>
      <c r="U62" s="601">
        <v>18</v>
      </c>
      <c r="V62" s="601">
        <v>19</v>
      </c>
      <c r="W62" s="602">
        <v>20</v>
      </c>
      <c r="X62" s="540"/>
    </row>
    <row r="63" spans="1:24" ht="15">
      <c r="A63" s="325"/>
      <c r="B63" s="603"/>
      <c r="C63" s="544"/>
      <c r="D63" s="544"/>
      <c r="E63" s="544"/>
      <c r="F63" s="544"/>
      <c r="G63" s="544"/>
      <c r="H63" s="544"/>
      <c r="I63" s="544"/>
      <c r="J63" s="544"/>
      <c r="K63" s="544"/>
      <c r="L63" s="544"/>
      <c r="M63" s="544"/>
      <c r="N63" s="544"/>
      <c r="O63" s="544"/>
      <c r="P63" s="544"/>
      <c r="Q63" s="544"/>
      <c r="R63" s="544"/>
      <c r="S63" s="544"/>
      <c r="T63" s="544"/>
      <c r="U63" s="544"/>
      <c r="V63" s="544"/>
      <c r="W63" s="545"/>
      <c r="X63" s="540"/>
    </row>
    <row r="64" spans="1:24" ht="15">
      <c r="A64" s="325"/>
      <c r="B64" s="457" t="s">
        <v>56</v>
      </c>
      <c r="C64" s="551"/>
      <c r="D64" s="551">
        <f>'F6-SC'!D18/1.18</f>
        <v>84821.66443799999</v>
      </c>
      <c r="E64" s="551">
        <f>'F6-SC'!E18/1.18</f>
        <v>86412.53498463</v>
      </c>
      <c r="F64" s="551">
        <f>'F6-SC'!F18/1.18</f>
        <v>87860.63102190259</v>
      </c>
      <c r="G64" s="551">
        <f>'F6-SC'!G18/1.18</f>
        <v>89485.12727307253</v>
      </c>
      <c r="H64" s="551">
        <f>'F6-SC'!H18/1.18</f>
        <v>91042.35393989566</v>
      </c>
      <c r="I64" s="551">
        <f>'F6-SC'!I18/1.18</f>
        <v>92700.17206910199</v>
      </c>
      <c r="J64" s="551">
        <f>'F6-SC'!J18/1.18</f>
        <v>94375.88597180594</v>
      </c>
      <c r="K64" s="551">
        <f>'F6-SC'!K18/1.18</f>
        <v>96069.67676498176</v>
      </c>
      <c r="L64" s="551">
        <f>'F6-SC'!L18/1.18</f>
        <v>97781.72725624568</v>
      </c>
      <c r="M64" s="551">
        <f>'F6-SC'!M18/1.18</f>
        <v>99512.2219588877</v>
      </c>
      <c r="N64" s="551">
        <f>'F6-SC'!N18/1.18</f>
        <v>101261.34710703247</v>
      </c>
      <c r="O64" s="551">
        <f>'F6-SC'!O18/1.18</f>
        <v>103029.29067093093</v>
      </c>
      <c r="P64" s="551">
        <f>'F6-SC'!P18/1.18</f>
        <v>104816.24237238313</v>
      </c>
      <c r="Q64" s="551">
        <f>'F6-SC'!Q18/1.18</f>
        <v>106853.5125482941</v>
      </c>
      <c r="R64" s="551">
        <f>'F6-SC'!R18/1.18</f>
        <v>108679.05677436324</v>
      </c>
      <c r="S64" s="551">
        <f>'F6-SC'!S18/1.18</f>
        <v>110689.39652494105</v>
      </c>
      <c r="T64" s="551">
        <f>'F6-SC'!T18/1.18</f>
        <v>112555.3759240189</v>
      </c>
      <c r="U64" s="551">
        <f>'F6-SC'!U18/1.18</f>
        <v>114616.59226072143</v>
      </c>
      <c r="V64" s="551">
        <f>'F6-SC'!V18/1.18</f>
        <v>116692.25077683115</v>
      </c>
      <c r="W64" s="552">
        <f>'F6-SC'!W18/1.18</f>
        <v>118790.48316155463</v>
      </c>
      <c r="X64" s="540"/>
    </row>
    <row r="65" spans="1:24" ht="15">
      <c r="A65" s="325"/>
      <c r="B65" s="457" t="s">
        <v>57</v>
      </c>
      <c r="C65" s="551"/>
      <c r="D65" s="551">
        <f>-SUM(D47:D48)/1.18</f>
        <v>-90268.24529016162</v>
      </c>
      <c r="E65" s="551">
        <f aca="true" t="shared" si="7" ref="E65:W65">-SUM(E47:E48)/1.18</f>
        <v>-91186.50731700614</v>
      </c>
      <c r="F65" s="551">
        <f t="shared" si="7"/>
        <v>-91979.22467127028</v>
      </c>
      <c r="G65" s="551">
        <f t="shared" si="7"/>
        <v>-92916.07461037961</v>
      </c>
      <c r="H65" s="551">
        <f t="shared" si="7"/>
        <v>-93826.61756111025</v>
      </c>
      <c r="I65" s="551">
        <f t="shared" si="7"/>
        <v>-94781.8874606015</v>
      </c>
      <c r="J65" s="551">
        <f t="shared" si="7"/>
        <v>-95747.04994293189</v>
      </c>
      <c r="K65" s="551">
        <f t="shared" si="7"/>
        <v>-96722.205127533</v>
      </c>
      <c r="L65" s="551">
        <f t="shared" si="7"/>
        <v>-97707.45406840445</v>
      </c>
      <c r="M65" s="551">
        <f t="shared" si="7"/>
        <v>-98702.8987624231</v>
      </c>
      <c r="N65" s="551">
        <f t="shared" si="7"/>
        <v>-99708.64215772394</v>
      </c>
      <c r="O65" s="551">
        <f t="shared" si="7"/>
        <v>-100724.78816215304</v>
      </c>
      <c r="P65" s="551">
        <f t="shared" si="7"/>
        <v>-101751.44165179328</v>
      </c>
      <c r="Q65" s="551">
        <f t="shared" si="7"/>
        <v>-102963.08891152026</v>
      </c>
      <c r="R65" s="551">
        <f t="shared" si="7"/>
        <v>-104011.07591584735</v>
      </c>
      <c r="S65" s="551">
        <f t="shared" si="7"/>
        <v>-105150.33692989762</v>
      </c>
      <c r="T65" s="551">
        <f t="shared" si="7"/>
        <v>-106220.67604427211</v>
      </c>
      <c r="U65" s="551">
        <f t="shared" si="7"/>
        <v>-107445.56047306256</v>
      </c>
      <c r="V65" s="551">
        <f t="shared" si="7"/>
        <v>-108620.92896796908</v>
      </c>
      <c r="W65" s="552">
        <f t="shared" si="7"/>
        <v>-109808.77604421721</v>
      </c>
      <c r="X65" s="540"/>
    </row>
    <row r="66" spans="1:24" ht="15">
      <c r="A66" s="325"/>
      <c r="B66" s="457" t="s">
        <v>61</v>
      </c>
      <c r="C66" s="551"/>
      <c r="D66" s="551">
        <f>-C13/30</f>
        <v>-71743.14083477334</v>
      </c>
      <c r="E66" s="551">
        <f>D66</f>
        <v>-71743.14083477334</v>
      </c>
      <c r="F66" s="551">
        <f aca="true" t="shared" si="8" ref="F66:W66">E66</f>
        <v>-71743.14083477334</v>
      </c>
      <c r="G66" s="551">
        <f t="shared" si="8"/>
        <v>-71743.14083477334</v>
      </c>
      <c r="H66" s="551">
        <f t="shared" si="8"/>
        <v>-71743.14083477334</v>
      </c>
      <c r="I66" s="551">
        <f t="shared" si="8"/>
        <v>-71743.14083477334</v>
      </c>
      <c r="J66" s="551">
        <f t="shared" si="8"/>
        <v>-71743.14083477334</v>
      </c>
      <c r="K66" s="551">
        <f t="shared" si="8"/>
        <v>-71743.14083477334</v>
      </c>
      <c r="L66" s="551">
        <f t="shared" si="8"/>
        <v>-71743.14083477334</v>
      </c>
      <c r="M66" s="551">
        <f t="shared" si="8"/>
        <v>-71743.14083477334</v>
      </c>
      <c r="N66" s="551">
        <f t="shared" si="8"/>
        <v>-71743.14083477334</v>
      </c>
      <c r="O66" s="551">
        <f t="shared" si="8"/>
        <v>-71743.14083477334</v>
      </c>
      <c r="P66" s="551">
        <f t="shared" si="8"/>
        <v>-71743.14083477334</v>
      </c>
      <c r="Q66" s="551">
        <f t="shared" si="8"/>
        <v>-71743.14083477334</v>
      </c>
      <c r="R66" s="551">
        <f t="shared" si="8"/>
        <v>-71743.14083477334</v>
      </c>
      <c r="S66" s="551">
        <f t="shared" si="8"/>
        <v>-71743.14083477334</v>
      </c>
      <c r="T66" s="551">
        <f t="shared" si="8"/>
        <v>-71743.14083477334</v>
      </c>
      <c r="U66" s="551">
        <f t="shared" si="8"/>
        <v>-71743.14083477334</v>
      </c>
      <c r="V66" s="551">
        <f t="shared" si="8"/>
        <v>-71743.14083477334</v>
      </c>
      <c r="W66" s="552">
        <f t="shared" si="8"/>
        <v>-71743.14083477334</v>
      </c>
      <c r="X66" s="541"/>
    </row>
    <row r="67" spans="1:24" ht="15">
      <c r="A67" s="325"/>
      <c r="B67" s="457" t="s">
        <v>58</v>
      </c>
      <c r="C67" s="551"/>
      <c r="D67" s="551">
        <f>SUM(D64:D66)</f>
        <v>-77189.72168693496</v>
      </c>
      <c r="E67" s="551">
        <f aca="true" t="shared" si="9" ref="E67:W67">SUM(E64:E66)</f>
        <v>-76517.11316714948</v>
      </c>
      <c r="F67" s="551">
        <f t="shared" si="9"/>
        <v>-75861.73448414102</v>
      </c>
      <c r="G67" s="551">
        <f t="shared" si="9"/>
        <v>-75174.08817208042</v>
      </c>
      <c r="H67" s="551">
        <f t="shared" si="9"/>
        <v>-74527.40445598793</v>
      </c>
      <c r="I67" s="551">
        <f t="shared" si="9"/>
        <v>-73824.85622627285</v>
      </c>
      <c r="J67" s="551">
        <f t="shared" si="9"/>
        <v>-73114.30480589929</v>
      </c>
      <c r="K67" s="551">
        <f t="shared" si="9"/>
        <v>-72395.66919732458</v>
      </c>
      <c r="L67" s="551">
        <f t="shared" si="9"/>
        <v>-71668.8676469321</v>
      </c>
      <c r="M67" s="551">
        <f t="shared" si="9"/>
        <v>-70933.81763830873</v>
      </c>
      <c r="N67" s="551">
        <f t="shared" si="9"/>
        <v>-70190.4358854648</v>
      </c>
      <c r="O67" s="551">
        <f t="shared" si="9"/>
        <v>-69438.63832599545</v>
      </c>
      <c r="P67" s="551">
        <f t="shared" si="9"/>
        <v>-68678.34011418349</v>
      </c>
      <c r="Q67" s="551">
        <f t="shared" si="9"/>
        <v>-67852.7171979995</v>
      </c>
      <c r="R67" s="551">
        <f t="shared" si="9"/>
        <v>-67075.15997625745</v>
      </c>
      <c r="S67" s="551">
        <f t="shared" si="9"/>
        <v>-66204.0812397299</v>
      </c>
      <c r="T67" s="551">
        <f t="shared" si="9"/>
        <v>-65408.440955026555</v>
      </c>
      <c r="U67" s="551">
        <f t="shared" si="9"/>
        <v>-64572.10904711447</v>
      </c>
      <c r="V67" s="551">
        <f t="shared" si="9"/>
        <v>-63671.819025911274</v>
      </c>
      <c r="W67" s="552">
        <f t="shared" si="9"/>
        <v>-62761.433717435924</v>
      </c>
      <c r="X67" s="540"/>
    </row>
    <row r="68" spans="1:24" ht="15">
      <c r="A68" s="325"/>
      <c r="B68" s="604" t="s">
        <v>59</v>
      </c>
      <c r="C68" s="605"/>
      <c r="D68" s="551">
        <f>IF(D67&gt;=0,D67*0.3,0)</f>
        <v>0</v>
      </c>
      <c r="E68" s="551">
        <f aca="true" t="shared" si="10" ref="E68:W68">IF(E67&gt;=0,E67*0.3,0)</f>
        <v>0</v>
      </c>
      <c r="F68" s="551">
        <f t="shared" si="10"/>
        <v>0</v>
      </c>
      <c r="G68" s="551">
        <f t="shared" si="10"/>
        <v>0</v>
      </c>
      <c r="H68" s="551">
        <f t="shared" si="10"/>
        <v>0</v>
      </c>
      <c r="I68" s="551">
        <f t="shared" si="10"/>
        <v>0</v>
      </c>
      <c r="J68" s="551">
        <f t="shared" si="10"/>
        <v>0</v>
      </c>
      <c r="K68" s="551">
        <f t="shared" si="10"/>
        <v>0</v>
      </c>
      <c r="L68" s="551">
        <f t="shared" si="10"/>
        <v>0</v>
      </c>
      <c r="M68" s="551">
        <f t="shared" si="10"/>
        <v>0</v>
      </c>
      <c r="N68" s="551">
        <f t="shared" si="10"/>
        <v>0</v>
      </c>
      <c r="O68" s="551">
        <f t="shared" si="10"/>
        <v>0</v>
      </c>
      <c r="P68" s="551">
        <f t="shared" si="10"/>
        <v>0</v>
      </c>
      <c r="Q68" s="551">
        <f t="shared" si="10"/>
        <v>0</v>
      </c>
      <c r="R68" s="551">
        <f t="shared" si="10"/>
        <v>0</v>
      </c>
      <c r="S68" s="551">
        <f t="shared" si="10"/>
        <v>0</v>
      </c>
      <c r="T68" s="551">
        <f t="shared" si="10"/>
        <v>0</v>
      </c>
      <c r="U68" s="551">
        <f t="shared" si="10"/>
        <v>0</v>
      </c>
      <c r="V68" s="551">
        <f t="shared" si="10"/>
        <v>0</v>
      </c>
      <c r="W68" s="552">
        <f t="shared" si="10"/>
        <v>0</v>
      </c>
      <c r="X68" s="540"/>
    </row>
    <row r="69" spans="1:24" ht="15">
      <c r="A69" s="325"/>
      <c r="B69" s="457" t="s">
        <v>60</v>
      </c>
      <c r="C69" s="605"/>
      <c r="D69" s="551">
        <f>D67-D68</f>
        <v>-77189.72168693496</v>
      </c>
      <c r="E69" s="551">
        <f aca="true" t="shared" si="11" ref="E69:W69">E67-E68</f>
        <v>-76517.11316714948</v>
      </c>
      <c r="F69" s="551">
        <f t="shared" si="11"/>
        <v>-75861.73448414102</v>
      </c>
      <c r="G69" s="551">
        <f t="shared" si="11"/>
        <v>-75174.08817208042</v>
      </c>
      <c r="H69" s="551">
        <f t="shared" si="11"/>
        <v>-74527.40445598793</v>
      </c>
      <c r="I69" s="551">
        <f t="shared" si="11"/>
        <v>-73824.85622627285</v>
      </c>
      <c r="J69" s="551">
        <f t="shared" si="11"/>
        <v>-73114.30480589929</v>
      </c>
      <c r="K69" s="551">
        <f t="shared" si="11"/>
        <v>-72395.66919732458</v>
      </c>
      <c r="L69" s="551">
        <f t="shared" si="11"/>
        <v>-71668.8676469321</v>
      </c>
      <c r="M69" s="551">
        <f t="shared" si="11"/>
        <v>-70933.81763830873</v>
      </c>
      <c r="N69" s="551">
        <f t="shared" si="11"/>
        <v>-70190.4358854648</v>
      </c>
      <c r="O69" s="551">
        <f t="shared" si="11"/>
        <v>-69438.63832599545</v>
      </c>
      <c r="P69" s="551">
        <f t="shared" si="11"/>
        <v>-68678.34011418349</v>
      </c>
      <c r="Q69" s="551">
        <f t="shared" si="11"/>
        <v>-67852.7171979995</v>
      </c>
      <c r="R69" s="551">
        <f t="shared" si="11"/>
        <v>-67075.15997625745</v>
      </c>
      <c r="S69" s="551">
        <f t="shared" si="11"/>
        <v>-66204.0812397299</v>
      </c>
      <c r="T69" s="551">
        <f t="shared" si="11"/>
        <v>-65408.440955026555</v>
      </c>
      <c r="U69" s="551">
        <f t="shared" si="11"/>
        <v>-64572.10904711447</v>
      </c>
      <c r="V69" s="551">
        <f t="shared" si="11"/>
        <v>-63671.819025911274</v>
      </c>
      <c r="W69" s="552">
        <f t="shared" si="11"/>
        <v>-62761.433717435924</v>
      </c>
      <c r="X69" s="540"/>
    </row>
    <row r="70" spans="1:24" ht="15">
      <c r="A70" s="325"/>
      <c r="B70" s="459"/>
      <c r="C70" s="606"/>
      <c r="D70" s="606"/>
      <c r="E70" s="606"/>
      <c r="F70" s="606"/>
      <c r="G70" s="606"/>
      <c r="H70" s="606"/>
      <c r="I70" s="606"/>
      <c r="J70" s="606"/>
      <c r="K70" s="606"/>
      <c r="L70" s="606"/>
      <c r="M70" s="606"/>
      <c r="N70" s="606"/>
      <c r="O70" s="606"/>
      <c r="P70" s="606"/>
      <c r="Q70" s="606"/>
      <c r="R70" s="606"/>
      <c r="S70" s="606"/>
      <c r="T70" s="606"/>
      <c r="U70" s="606"/>
      <c r="V70" s="606"/>
      <c r="W70" s="607"/>
      <c r="X70" s="540"/>
    </row>
    <row r="71" spans="1:24" ht="15.75" thickBot="1">
      <c r="A71" s="576"/>
      <c r="B71" s="577"/>
      <c r="C71" s="578"/>
      <c r="D71" s="578"/>
      <c r="E71" s="578"/>
      <c r="F71" s="578"/>
      <c r="G71" s="578"/>
      <c r="H71" s="578"/>
      <c r="I71" s="578"/>
      <c r="J71" s="578"/>
      <c r="K71" s="578"/>
      <c r="L71" s="578"/>
      <c r="M71" s="578"/>
      <c r="N71" s="578"/>
      <c r="O71" s="578"/>
      <c r="P71" s="578"/>
      <c r="Q71" s="578"/>
      <c r="R71" s="578"/>
      <c r="S71" s="578"/>
      <c r="T71" s="578"/>
      <c r="U71" s="578"/>
      <c r="V71" s="578"/>
      <c r="W71" s="579"/>
      <c r="X71" s="540"/>
    </row>
  </sheetData>
  <sheetProtection password="FFA0" sheet="1"/>
  <mergeCells count="5">
    <mergeCell ref="A5:B7"/>
    <mergeCell ref="C5:W5"/>
    <mergeCell ref="A2:W2"/>
    <mergeCell ref="A3:W3"/>
    <mergeCell ref="A4:W4"/>
  </mergeCells>
  <printOptions horizontalCentered="1" verticalCentered="1"/>
  <pageMargins left="0.1968503937007874" right="0.1968503937007874" top="0.4330708661417323" bottom="0.3937007874015748" header="0.31496062992125984" footer="0.31496062992125984"/>
  <pageSetup fitToHeight="1" fitToWidth="1" horizontalDpi="300" verticalDpi="300" orientation="landscape" paperSize="9" scale="61" r:id="rId2"/>
  <colBreaks count="2" manualBreakCount="2">
    <brk id="79" max="37" man="1"/>
    <brk id="161" max="37" man="1"/>
  </colBreaks>
  <drawing r:id="rId1"/>
</worksheet>
</file>

<file path=xl/worksheets/sheet11.xml><?xml version="1.0" encoding="utf-8"?>
<worksheet xmlns="http://schemas.openxmlformats.org/spreadsheetml/2006/main" xmlns:r="http://schemas.openxmlformats.org/officeDocument/2006/relationships">
  <sheetPr codeName="Hoja13">
    <pageSetUpPr fitToPage="1"/>
  </sheetPr>
  <dimension ref="A1:Y80"/>
  <sheetViews>
    <sheetView showGridLines="0" showZeros="0" zoomScale="89" zoomScaleNormal="89" zoomScaleSheetLayoutView="84" zoomScalePageLayoutView="0" workbookViewId="0" topLeftCell="B1">
      <pane ySplit="4" topLeftCell="A23" activePane="bottomLeft" state="frozen"/>
      <selection pane="topLeft" activeCell="K132" sqref="K132"/>
      <selection pane="bottomLeft" activeCell="I28" sqref="I28"/>
    </sheetView>
  </sheetViews>
  <sheetFormatPr defaultColWidth="11.421875" defaultRowHeight="15"/>
  <cols>
    <col min="1" max="1" width="4.00390625" style="234" bestFit="1" customWidth="1"/>
    <col min="2" max="2" width="38.140625" style="234" customWidth="1"/>
    <col min="3" max="3" width="10.57421875" style="234" customWidth="1"/>
    <col min="4" max="4" width="9.421875" style="234" customWidth="1"/>
    <col min="5" max="5" width="8.8515625" style="234" bestFit="1" customWidth="1"/>
    <col min="6" max="11" width="8.28125" style="234" bestFit="1" customWidth="1"/>
    <col min="12" max="12" width="10.421875" style="234" bestFit="1" customWidth="1"/>
    <col min="13" max="15" width="8.28125" style="234" bestFit="1" customWidth="1"/>
    <col min="16" max="24" width="9.00390625" style="234" bestFit="1" customWidth="1"/>
    <col min="25" max="25" width="11.421875" style="234" customWidth="1"/>
    <col min="26" max="26" width="29.00390625" style="234" customWidth="1"/>
    <col min="27" max="27" width="15.7109375" style="234" customWidth="1"/>
    <col min="28" max="16384" width="11.421875" style="234" customWidth="1"/>
  </cols>
  <sheetData>
    <row r="1" spans="1:25" ht="27.75" customHeight="1" thickBot="1">
      <c r="A1" s="540"/>
      <c r="B1" s="540"/>
      <c r="C1" s="540"/>
      <c r="D1" s="541"/>
      <c r="E1" s="541"/>
      <c r="F1" s="541"/>
      <c r="G1" s="541"/>
      <c r="H1" s="541"/>
      <c r="I1" s="541"/>
      <c r="J1" s="541"/>
      <c r="K1" s="541"/>
      <c r="L1" s="541"/>
      <c r="M1" s="541"/>
      <c r="N1" s="541"/>
      <c r="O1" s="541"/>
      <c r="P1" s="541"/>
      <c r="Q1" s="541"/>
      <c r="R1" s="541"/>
      <c r="S1" s="541"/>
      <c r="T1" s="541"/>
      <c r="U1" s="541"/>
      <c r="V1" s="541"/>
      <c r="W1" s="541"/>
      <c r="X1" s="541"/>
      <c r="Y1" s="540"/>
    </row>
    <row r="2" spans="1:25" ht="15.75">
      <c r="A2" s="876" t="s">
        <v>129</v>
      </c>
      <c r="B2" s="877"/>
      <c r="C2" s="877"/>
      <c r="D2" s="877"/>
      <c r="E2" s="877"/>
      <c r="F2" s="877"/>
      <c r="G2" s="877"/>
      <c r="H2" s="877"/>
      <c r="I2" s="877"/>
      <c r="J2" s="877"/>
      <c r="K2" s="877"/>
      <c r="L2" s="877"/>
      <c r="M2" s="877"/>
      <c r="N2" s="877"/>
      <c r="O2" s="877"/>
      <c r="P2" s="877"/>
      <c r="Q2" s="877"/>
      <c r="R2" s="877"/>
      <c r="S2" s="877"/>
      <c r="T2" s="877"/>
      <c r="U2" s="877"/>
      <c r="V2" s="877"/>
      <c r="W2" s="877"/>
      <c r="X2" s="878"/>
      <c r="Y2" s="540"/>
    </row>
    <row r="3" spans="1:25" ht="15.75">
      <c r="A3" s="879" t="s">
        <v>342</v>
      </c>
      <c r="B3" s="880"/>
      <c r="C3" s="880"/>
      <c r="D3" s="880"/>
      <c r="E3" s="880"/>
      <c r="F3" s="880"/>
      <c r="G3" s="880"/>
      <c r="H3" s="880"/>
      <c r="I3" s="880"/>
      <c r="J3" s="880"/>
      <c r="K3" s="880"/>
      <c r="L3" s="880"/>
      <c r="M3" s="880"/>
      <c r="N3" s="880"/>
      <c r="O3" s="880"/>
      <c r="P3" s="880"/>
      <c r="Q3" s="880"/>
      <c r="R3" s="880"/>
      <c r="S3" s="880"/>
      <c r="T3" s="880"/>
      <c r="U3" s="880"/>
      <c r="V3" s="880"/>
      <c r="W3" s="880"/>
      <c r="X3" s="881"/>
      <c r="Y3" s="540"/>
    </row>
    <row r="4" spans="1:25" ht="15.75">
      <c r="A4" s="882" t="s">
        <v>35</v>
      </c>
      <c r="B4" s="883"/>
      <c r="C4" s="883"/>
      <c r="D4" s="883"/>
      <c r="E4" s="883"/>
      <c r="F4" s="883"/>
      <c r="G4" s="883"/>
      <c r="H4" s="883"/>
      <c r="I4" s="883"/>
      <c r="J4" s="883"/>
      <c r="K4" s="883"/>
      <c r="L4" s="883"/>
      <c r="M4" s="883"/>
      <c r="N4" s="883"/>
      <c r="O4" s="883"/>
      <c r="P4" s="883"/>
      <c r="Q4" s="883"/>
      <c r="R4" s="883"/>
      <c r="S4" s="883"/>
      <c r="T4" s="883"/>
      <c r="U4" s="883"/>
      <c r="V4" s="883"/>
      <c r="W4" s="883"/>
      <c r="X4" s="884"/>
      <c r="Y4" s="540"/>
    </row>
    <row r="5" spans="1:25" ht="15" customHeight="1">
      <c r="A5" s="867" t="s">
        <v>4</v>
      </c>
      <c r="B5" s="868"/>
      <c r="C5" s="592"/>
      <c r="D5" s="873" t="s">
        <v>92</v>
      </c>
      <c r="E5" s="874"/>
      <c r="F5" s="874"/>
      <c r="G5" s="874"/>
      <c r="H5" s="874"/>
      <c r="I5" s="874"/>
      <c r="J5" s="874"/>
      <c r="K5" s="874"/>
      <c r="L5" s="874"/>
      <c r="M5" s="874"/>
      <c r="N5" s="874"/>
      <c r="O5" s="874"/>
      <c r="P5" s="874"/>
      <c r="Q5" s="874"/>
      <c r="R5" s="874"/>
      <c r="S5" s="874"/>
      <c r="T5" s="874"/>
      <c r="U5" s="874"/>
      <c r="V5" s="874"/>
      <c r="W5" s="874"/>
      <c r="X5" s="875"/>
      <c r="Y5" s="540"/>
    </row>
    <row r="6" spans="1:25" ht="14.25" customHeight="1">
      <c r="A6" s="869"/>
      <c r="B6" s="870"/>
      <c r="C6" s="885" t="s">
        <v>435</v>
      </c>
      <c r="D6" s="8">
        <v>0</v>
      </c>
      <c r="E6" s="8">
        <v>1</v>
      </c>
      <c r="F6" s="8">
        <v>2</v>
      </c>
      <c r="G6" s="8">
        <v>3</v>
      </c>
      <c r="H6" s="8">
        <v>4</v>
      </c>
      <c r="I6" s="8">
        <v>5</v>
      </c>
      <c r="J6" s="8">
        <v>6</v>
      </c>
      <c r="K6" s="8">
        <v>7</v>
      </c>
      <c r="L6" s="8">
        <v>8</v>
      </c>
      <c r="M6" s="8">
        <v>9</v>
      </c>
      <c r="N6" s="8">
        <v>10</v>
      </c>
      <c r="O6" s="8">
        <v>11</v>
      </c>
      <c r="P6" s="8">
        <v>12</v>
      </c>
      <c r="Q6" s="8">
        <v>13</v>
      </c>
      <c r="R6" s="8">
        <v>14</v>
      </c>
      <c r="S6" s="8">
        <v>15</v>
      </c>
      <c r="T6" s="8">
        <v>16</v>
      </c>
      <c r="U6" s="8">
        <v>17</v>
      </c>
      <c r="V6" s="8">
        <v>18</v>
      </c>
      <c r="W6" s="8">
        <v>19</v>
      </c>
      <c r="X6" s="114">
        <v>20</v>
      </c>
      <c r="Y6" s="540"/>
    </row>
    <row r="7" spans="1:25" ht="18.75" customHeight="1">
      <c r="A7" s="871"/>
      <c r="B7" s="872"/>
      <c r="C7" s="886"/>
      <c r="D7" s="8">
        <f>'F2'!C8</f>
        <v>2011</v>
      </c>
      <c r="E7" s="8">
        <f>+D7+1</f>
        <v>2012</v>
      </c>
      <c r="F7" s="8">
        <f aca="true" t="shared" si="0" ref="F7:X7">+E7+1</f>
        <v>2013</v>
      </c>
      <c r="G7" s="8">
        <f t="shared" si="0"/>
        <v>2014</v>
      </c>
      <c r="H7" s="8">
        <f t="shared" si="0"/>
        <v>2015</v>
      </c>
      <c r="I7" s="8">
        <f t="shared" si="0"/>
        <v>2016</v>
      </c>
      <c r="J7" s="8">
        <f t="shared" si="0"/>
        <v>2017</v>
      </c>
      <c r="K7" s="8">
        <f t="shared" si="0"/>
        <v>2018</v>
      </c>
      <c r="L7" s="8">
        <f t="shared" si="0"/>
        <v>2019</v>
      </c>
      <c r="M7" s="8">
        <f t="shared" si="0"/>
        <v>2020</v>
      </c>
      <c r="N7" s="8">
        <f t="shared" si="0"/>
        <v>2021</v>
      </c>
      <c r="O7" s="8">
        <f t="shared" si="0"/>
        <v>2022</v>
      </c>
      <c r="P7" s="8">
        <f t="shared" si="0"/>
        <v>2023</v>
      </c>
      <c r="Q7" s="8">
        <f t="shared" si="0"/>
        <v>2024</v>
      </c>
      <c r="R7" s="8">
        <f t="shared" si="0"/>
        <v>2025</v>
      </c>
      <c r="S7" s="8">
        <f t="shared" si="0"/>
        <v>2026</v>
      </c>
      <c r="T7" s="8">
        <f t="shared" si="0"/>
        <v>2027</v>
      </c>
      <c r="U7" s="8">
        <f t="shared" si="0"/>
        <v>2028</v>
      </c>
      <c r="V7" s="8">
        <f t="shared" si="0"/>
        <v>2029</v>
      </c>
      <c r="W7" s="8">
        <f t="shared" si="0"/>
        <v>2030</v>
      </c>
      <c r="X7" s="114">
        <f t="shared" si="0"/>
        <v>2031</v>
      </c>
      <c r="Y7" s="540"/>
    </row>
    <row r="8" spans="1:25" ht="15">
      <c r="A8" s="542" t="s">
        <v>0</v>
      </c>
      <c r="B8" s="543" t="s">
        <v>5</v>
      </c>
      <c r="C8" s="543"/>
      <c r="D8" s="544"/>
      <c r="E8" s="544"/>
      <c r="F8" s="544"/>
      <c r="G8" s="544"/>
      <c r="H8" s="544"/>
      <c r="I8" s="544"/>
      <c r="J8" s="544"/>
      <c r="K8" s="544"/>
      <c r="L8" s="544"/>
      <c r="M8" s="544"/>
      <c r="N8" s="544"/>
      <c r="O8" s="544"/>
      <c r="P8" s="544"/>
      <c r="Q8" s="544"/>
      <c r="R8" s="544"/>
      <c r="S8" s="544"/>
      <c r="T8" s="544"/>
      <c r="U8" s="544"/>
      <c r="V8" s="544"/>
      <c r="W8" s="544"/>
      <c r="X8" s="545"/>
      <c r="Y8" s="540"/>
    </row>
    <row r="9" spans="1:25" ht="15">
      <c r="A9" s="546">
        <v>1</v>
      </c>
      <c r="B9" s="547" t="s">
        <v>25</v>
      </c>
      <c r="C9" s="547"/>
      <c r="D9" s="232">
        <f>SUM(D10:D12)</f>
        <v>18892.44</v>
      </c>
      <c r="E9" s="232"/>
      <c r="F9" s="232"/>
      <c r="G9" s="232"/>
      <c r="H9" s="232"/>
      <c r="I9" s="232"/>
      <c r="J9" s="232"/>
      <c r="K9" s="232"/>
      <c r="L9" s="232"/>
      <c r="M9" s="232"/>
      <c r="N9" s="232"/>
      <c r="O9" s="232"/>
      <c r="P9" s="232"/>
      <c r="Q9" s="232"/>
      <c r="R9" s="232"/>
      <c r="S9" s="232"/>
      <c r="T9" s="232"/>
      <c r="U9" s="232"/>
      <c r="V9" s="232"/>
      <c r="W9" s="232"/>
      <c r="X9" s="548"/>
      <c r="Y9" s="540"/>
    </row>
    <row r="10" spans="1:25" ht="15">
      <c r="A10" s="549">
        <v>1.1</v>
      </c>
      <c r="B10" s="457" t="s">
        <v>289</v>
      </c>
      <c r="C10" s="457"/>
      <c r="D10" s="335">
        <f>Entrada!J55</f>
        <v>0</v>
      </c>
      <c r="E10" s="232"/>
      <c r="F10" s="551"/>
      <c r="G10" s="551"/>
      <c r="H10" s="551"/>
      <c r="I10" s="551"/>
      <c r="J10" s="551"/>
      <c r="K10" s="551"/>
      <c r="L10" s="551"/>
      <c r="M10" s="551"/>
      <c r="N10" s="551"/>
      <c r="O10" s="551"/>
      <c r="P10" s="551"/>
      <c r="Q10" s="551"/>
      <c r="R10" s="551"/>
      <c r="S10" s="551"/>
      <c r="T10" s="551"/>
      <c r="U10" s="551"/>
      <c r="V10" s="551"/>
      <c r="W10" s="551"/>
      <c r="X10" s="552"/>
      <c r="Y10" s="540"/>
    </row>
    <row r="11" spans="1:25" ht="15">
      <c r="A11" s="549">
        <v>1.2</v>
      </c>
      <c r="B11" s="457" t="s">
        <v>290</v>
      </c>
      <c r="C11" s="457"/>
      <c r="D11" s="335">
        <f>Entrada!J56</f>
        <v>18892.44</v>
      </c>
      <c r="E11" s="232"/>
      <c r="F11" s="551"/>
      <c r="G11" s="551"/>
      <c r="H11" s="551"/>
      <c r="I11" s="551"/>
      <c r="J11" s="551"/>
      <c r="K11" s="551"/>
      <c r="L11" s="551"/>
      <c r="M11" s="551"/>
      <c r="N11" s="551"/>
      <c r="O11" s="551"/>
      <c r="P11" s="551"/>
      <c r="Q11" s="551"/>
      <c r="R11" s="551"/>
      <c r="S11" s="551"/>
      <c r="T11" s="551"/>
      <c r="U11" s="551"/>
      <c r="V11" s="551"/>
      <c r="W11" s="551"/>
      <c r="X11" s="552"/>
      <c r="Y11" s="540"/>
    </row>
    <row r="12" spans="1:25" ht="15">
      <c r="A12" s="549">
        <v>1.3</v>
      </c>
      <c r="B12" s="457" t="s">
        <v>249</v>
      </c>
      <c r="C12" s="457"/>
      <c r="D12" s="335">
        <f>Entrada!J57</f>
        <v>0</v>
      </c>
      <c r="E12" s="232"/>
      <c r="F12" s="551"/>
      <c r="G12" s="551"/>
      <c r="H12" s="551"/>
      <c r="I12" s="551"/>
      <c r="J12" s="551"/>
      <c r="K12" s="551"/>
      <c r="L12" s="551"/>
      <c r="M12" s="551"/>
      <c r="N12" s="551"/>
      <c r="O12" s="551"/>
      <c r="P12" s="551"/>
      <c r="Q12" s="551"/>
      <c r="R12" s="551"/>
      <c r="S12" s="551"/>
      <c r="T12" s="551"/>
      <c r="U12" s="551"/>
      <c r="V12" s="551"/>
      <c r="W12" s="551"/>
      <c r="X12" s="552"/>
      <c r="Y12" s="540"/>
    </row>
    <row r="13" spans="1:25" ht="15">
      <c r="A13" s="549"/>
      <c r="B13" s="457"/>
      <c r="C13" s="457"/>
      <c r="D13" s="335"/>
      <c r="E13" s="232"/>
      <c r="F13" s="551"/>
      <c r="G13" s="551"/>
      <c r="H13" s="551"/>
      <c r="I13" s="551"/>
      <c r="J13" s="551"/>
      <c r="K13" s="551"/>
      <c r="L13" s="551"/>
      <c r="M13" s="551"/>
      <c r="N13" s="551"/>
      <c r="O13" s="551"/>
      <c r="P13" s="551"/>
      <c r="Q13" s="551"/>
      <c r="R13" s="551"/>
      <c r="S13" s="551"/>
      <c r="T13" s="551"/>
      <c r="U13" s="551"/>
      <c r="V13" s="551"/>
      <c r="W13" s="551"/>
      <c r="X13" s="552"/>
      <c r="Y13" s="540"/>
    </row>
    <row r="14" spans="1:25" ht="15">
      <c r="A14" s="546">
        <v>2</v>
      </c>
      <c r="B14" s="547" t="s">
        <v>140</v>
      </c>
      <c r="C14" s="547"/>
      <c r="D14" s="331">
        <f>D16+D23+D26+D29+D31+D32</f>
        <v>1946231.965692</v>
      </c>
      <c r="E14" s="232"/>
      <c r="F14" s="232"/>
      <c r="G14" s="232"/>
      <c r="H14" s="232"/>
      <c r="I14" s="232"/>
      <c r="J14" s="232"/>
      <c r="K14" s="232"/>
      <c r="L14" s="232"/>
      <c r="M14" s="232"/>
      <c r="N14" s="232"/>
      <c r="O14" s="232"/>
      <c r="P14" s="232"/>
      <c r="Q14" s="232"/>
      <c r="R14" s="232"/>
      <c r="S14" s="232"/>
      <c r="T14" s="232"/>
      <c r="U14" s="232"/>
      <c r="V14" s="232"/>
      <c r="W14" s="232"/>
      <c r="X14" s="548"/>
      <c r="Y14" s="540"/>
    </row>
    <row r="15" spans="1:25" ht="8.25" customHeight="1">
      <c r="A15" s="546"/>
      <c r="B15" s="547"/>
      <c r="C15" s="547"/>
      <c r="D15" s="335"/>
      <c r="E15" s="232"/>
      <c r="F15" s="232"/>
      <c r="G15" s="232"/>
      <c r="H15" s="232"/>
      <c r="I15" s="232"/>
      <c r="J15" s="232"/>
      <c r="K15" s="232"/>
      <c r="L15" s="232"/>
      <c r="M15" s="232"/>
      <c r="N15" s="232"/>
      <c r="O15" s="232"/>
      <c r="P15" s="232"/>
      <c r="Q15" s="232"/>
      <c r="R15" s="232"/>
      <c r="S15" s="232"/>
      <c r="T15" s="232"/>
      <c r="U15" s="232"/>
      <c r="V15" s="232"/>
      <c r="W15" s="232"/>
      <c r="X15" s="548"/>
      <c r="Y15" s="540"/>
    </row>
    <row r="16" spans="1:25" ht="15">
      <c r="A16" s="546">
        <v>2.1</v>
      </c>
      <c r="B16" s="547" t="s">
        <v>306</v>
      </c>
      <c r="C16" s="547"/>
      <c r="D16" s="331">
        <f>SUM(D17:D22)</f>
        <v>1248563.57472</v>
      </c>
      <c r="E16" s="232"/>
      <c r="F16" s="232"/>
      <c r="G16" s="232"/>
      <c r="H16" s="232"/>
      <c r="I16" s="232"/>
      <c r="J16" s="232"/>
      <c r="K16" s="232"/>
      <c r="L16" s="232"/>
      <c r="M16" s="232"/>
      <c r="N16" s="232"/>
      <c r="O16" s="232"/>
      <c r="P16" s="232"/>
      <c r="Q16" s="232"/>
      <c r="R16" s="232"/>
      <c r="S16" s="232"/>
      <c r="T16" s="232"/>
      <c r="U16" s="232"/>
      <c r="V16" s="232"/>
      <c r="W16" s="232"/>
      <c r="X16" s="548"/>
      <c r="Y16" s="540"/>
    </row>
    <row r="17" spans="1:25" ht="15">
      <c r="A17" s="546"/>
      <c r="B17" s="553" t="s">
        <v>297</v>
      </c>
      <c r="C17" s="553"/>
      <c r="D17" s="335">
        <f>Entrada!J61</f>
        <v>545991.516</v>
      </c>
      <c r="E17" s="232"/>
      <c r="F17" s="232"/>
      <c r="G17" s="232"/>
      <c r="H17" s="232"/>
      <c r="I17" s="232"/>
      <c r="J17" s="232"/>
      <c r="K17" s="232"/>
      <c r="L17" s="232"/>
      <c r="M17" s="232"/>
      <c r="N17" s="232"/>
      <c r="O17" s="232"/>
      <c r="P17" s="232"/>
      <c r="Q17" s="232"/>
      <c r="R17" s="232"/>
      <c r="S17" s="232"/>
      <c r="T17" s="232"/>
      <c r="U17" s="232"/>
      <c r="V17" s="232"/>
      <c r="W17" s="232"/>
      <c r="X17" s="548"/>
      <c r="Y17" s="540"/>
    </row>
    <row r="18" spans="1:25" ht="15">
      <c r="A18" s="546"/>
      <c r="B18" s="553" t="s">
        <v>298</v>
      </c>
      <c r="C18" s="553"/>
      <c r="D18" s="335">
        <f>Entrada!J62</f>
        <v>528988.32</v>
      </c>
      <c r="E18" s="232"/>
      <c r="F18" s="232"/>
      <c r="G18" s="232"/>
      <c r="H18" s="232"/>
      <c r="I18" s="232"/>
      <c r="J18" s="232"/>
      <c r="K18" s="232"/>
      <c r="L18" s="232"/>
      <c r="M18" s="232"/>
      <c r="N18" s="232"/>
      <c r="O18" s="232"/>
      <c r="P18" s="232"/>
      <c r="Q18" s="232"/>
      <c r="R18" s="232"/>
      <c r="S18" s="232"/>
      <c r="T18" s="232"/>
      <c r="U18" s="232"/>
      <c r="V18" s="232"/>
      <c r="W18" s="232"/>
      <c r="X18" s="548"/>
      <c r="Y18" s="540"/>
    </row>
    <row r="19" spans="1:25" ht="15">
      <c r="A19" s="546"/>
      <c r="B19" s="553" t="s">
        <v>299</v>
      </c>
      <c r="C19" s="553"/>
      <c r="D19" s="335">
        <f>Entrada!J63</f>
        <v>94462.2</v>
      </c>
      <c r="E19" s="232"/>
      <c r="F19" s="232"/>
      <c r="G19" s="232"/>
      <c r="H19" s="232"/>
      <c r="I19" s="232"/>
      <c r="J19" s="232"/>
      <c r="K19" s="232"/>
      <c r="L19" s="232"/>
      <c r="M19" s="232"/>
      <c r="N19" s="232"/>
      <c r="O19" s="232"/>
      <c r="P19" s="232"/>
      <c r="Q19" s="232"/>
      <c r="R19" s="232"/>
      <c r="S19" s="232"/>
      <c r="T19" s="232"/>
      <c r="U19" s="232"/>
      <c r="V19" s="232"/>
      <c r="W19" s="232"/>
      <c r="X19" s="548"/>
      <c r="Y19" s="540"/>
    </row>
    <row r="20" spans="1:25" ht="15">
      <c r="A20" s="546"/>
      <c r="B20" s="553" t="s">
        <v>300</v>
      </c>
      <c r="C20" s="553"/>
      <c r="D20" s="335">
        <f>Entrada!J64</f>
        <v>73680.51599999999</v>
      </c>
      <c r="E20" s="232"/>
      <c r="F20" s="232"/>
      <c r="G20" s="232"/>
      <c r="H20" s="232"/>
      <c r="I20" s="232"/>
      <c r="J20" s="232"/>
      <c r="K20" s="232"/>
      <c r="L20" s="232"/>
      <c r="M20" s="232"/>
      <c r="N20" s="232"/>
      <c r="O20" s="232"/>
      <c r="P20" s="232"/>
      <c r="Q20" s="232"/>
      <c r="R20" s="232"/>
      <c r="S20" s="232"/>
      <c r="T20" s="232"/>
      <c r="U20" s="232"/>
      <c r="V20" s="232"/>
      <c r="W20" s="232"/>
      <c r="X20" s="548"/>
      <c r="Y20" s="540"/>
    </row>
    <row r="21" spans="1:25" ht="15">
      <c r="A21" s="546"/>
      <c r="B21" s="553" t="s">
        <v>301</v>
      </c>
      <c r="C21" s="553"/>
      <c r="D21" s="335">
        <f>Entrada!J65</f>
        <v>5441.022719999999</v>
      </c>
      <c r="E21" s="232"/>
      <c r="F21" s="232"/>
      <c r="G21" s="232"/>
      <c r="H21" s="232"/>
      <c r="I21" s="232"/>
      <c r="J21" s="232"/>
      <c r="K21" s="232"/>
      <c r="L21" s="232"/>
      <c r="M21" s="232"/>
      <c r="N21" s="232"/>
      <c r="O21" s="232"/>
      <c r="P21" s="232"/>
      <c r="Q21" s="232"/>
      <c r="R21" s="232"/>
      <c r="S21" s="232"/>
      <c r="T21" s="232"/>
      <c r="U21" s="232"/>
      <c r="V21" s="232"/>
      <c r="W21" s="232"/>
      <c r="X21" s="548"/>
      <c r="Y21" s="540"/>
    </row>
    <row r="22" spans="1:25" ht="15">
      <c r="A22" s="546"/>
      <c r="B22" s="553" t="s">
        <v>436</v>
      </c>
      <c r="C22" s="553"/>
      <c r="D22" s="335">
        <f>Entrada!J66</f>
        <v>0</v>
      </c>
      <c r="E22" s="232"/>
      <c r="F22" s="232"/>
      <c r="G22" s="232"/>
      <c r="H22" s="232"/>
      <c r="I22" s="232"/>
      <c r="J22" s="232"/>
      <c r="K22" s="232"/>
      <c r="L22" s="232"/>
      <c r="M22" s="232"/>
      <c r="N22" s="232"/>
      <c r="O22" s="232"/>
      <c r="P22" s="232"/>
      <c r="Q22" s="232"/>
      <c r="R22" s="232"/>
      <c r="S22" s="232"/>
      <c r="T22" s="232"/>
      <c r="U22" s="232"/>
      <c r="V22" s="232"/>
      <c r="W22" s="232"/>
      <c r="X22" s="548"/>
      <c r="Y22" s="540"/>
    </row>
    <row r="23" spans="1:25" ht="15">
      <c r="A23" s="546">
        <v>2.2</v>
      </c>
      <c r="B23" s="547" t="s">
        <v>307</v>
      </c>
      <c r="C23" s="547"/>
      <c r="D23" s="331">
        <f>SUM(D24:D25)</f>
        <v>321171.4799999999</v>
      </c>
      <c r="E23" s="232"/>
      <c r="F23" s="232"/>
      <c r="G23" s="232"/>
      <c r="H23" s="232"/>
      <c r="I23" s="232"/>
      <c r="J23" s="232"/>
      <c r="K23" s="232"/>
      <c r="L23" s="232"/>
      <c r="M23" s="232"/>
      <c r="N23" s="232"/>
      <c r="O23" s="232"/>
      <c r="P23" s="232"/>
      <c r="Q23" s="232"/>
      <c r="R23" s="232"/>
      <c r="S23" s="232"/>
      <c r="T23" s="232"/>
      <c r="U23" s="232"/>
      <c r="V23" s="232"/>
      <c r="W23" s="232"/>
      <c r="X23" s="548"/>
      <c r="Y23" s="540"/>
    </row>
    <row r="24" spans="1:25" ht="15">
      <c r="A24" s="546"/>
      <c r="B24" s="553" t="s">
        <v>302</v>
      </c>
      <c r="C24" s="553"/>
      <c r="D24" s="335">
        <f>Entrada!J68</f>
        <v>47231.1</v>
      </c>
      <c r="E24" s="232"/>
      <c r="F24" s="232"/>
      <c r="G24" s="232"/>
      <c r="H24" s="232"/>
      <c r="I24" s="232"/>
      <c r="J24" s="232"/>
      <c r="K24" s="232"/>
      <c r="L24" s="232"/>
      <c r="M24" s="232"/>
      <c r="N24" s="232"/>
      <c r="O24" s="232"/>
      <c r="P24" s="232"/>
      <c r="Q24" s="232"/>
      <c r="R24" s="232"/>
      <c r="S24" s="232"/>
      <c r="T24" s="232"/>
      <c r="U24" s="232"/>
      <c r="V24" s="232"/>
      <c r="W24" s="232"/>
      <c r="X24" s="548"/>
      <c r="Y24" s="540"/>
    </row>
    <row r="25" spans="1:25" ht="15">
      <c r="A25" s="549"/>
      <c r="B25" s="553" t="s">
        <v>303</v>
      </c>
      <c r="C25" s="553"/>
      <c r="D25" s="335">
        <f>Entrada!J69</f>
        <v>273940.37999999995</v>
      </c>
      <c r="E25" s="232"/>
      <c r="F25" s="551"/>
      <c r="G25" s="551"/>
      <c r="H25" s="551"/>
      <c r="I25" s="551"/>
      <c r="J25" s="551"/>
      <c r="K25" s="551"/>
      <c r="L25" s="551"/>
      <c r="M25" s="551"/>
      <c r="N25" s="551"/>
      <c r="O25" s="551"/>
      <c r="P25" s="551"/>
      <c r="Q25" s="551"/>
      <c r="R25" s="551"/>
      <c r="S25" s="551"/>
      <c r="T25" s="551"/>
      <c r="U25" s="551"/>
      <c r="V25" s="551"/>
      <c r="W25" s="551"/>
      <c r="X25" s="552"/>
      <c r="Y25" s="540"/>
    </row>
    <row r="26" spans="1:25" ht="15">
      <c r="A26" s="546">
        <v>2.3</v>
      </c>
      <c r="B26" s="547" t="s">
        <v>308</v>
      </c>
      <c r="C26" s="547"/>
      <c r="D26" s="331">
        <f>SUM(D27:D28)</f>
        <v>75569.76</v>
      </c>
      <c r="E26" s="232"/>
      <c r="F26" s="551"/>
      <c r="G26" s="551"/>
      <c r="H26" s="551"/>
      <c r="I26" s="551"/>
      <c r="J26" s="551"/>
      <c r="K26" s="551"/>
      <c r="L26" s="551"/>
      <c r="M26" s="551"/>
      <c r="N26" s="551"/>
      <c r="O26" s="551"/>
      <c r="P26" s="551"/>
      <c r="Q26" s="551"/>
      <c r="R26" s="551"/>
      <c r="S26" s="551"/>
      <c r="T26" s="551"/>
      <c r="U26" s="551"/>
      <c r="V26" s="551"/>
      <c r="W26" s="551"/>
      <c r="X26" s="552"/>
      <c r="Y26" s="540"/>
    </row>
    <row r="27" spans="1:25" ht="15">
      <c r="A27" s="549"/>
      <c r="B27" s="553" t="s">
        <v>304</v>
      </c>
      <c r="C27" s="553"/>
      <c r="D27" s="335">
        <f>Entrada!J71</f>
        <v>75569.76</v>
      </c>
      <c r="E27" s="232"/>
      <c r="F27" s="551"/>
      <c r="G27" s="551"/>
      <c r="H27" s="551"/>
      <c r="I27" s="551"/>
      <c r="J27" s="551"/>
      <c r="K27" s="551"/>
      <c r="L27" s="551"/>
      <c r="M27" s="551"/>
      <c r="N27" s="551"/>
      <c r="O27" s="551"/>
      <c r="P27" s="551"/>
      <c r="Q27" s="551"/>
      <c r="R27" s="551"/>
      <c r="S27" s="551"/>
      <c r="T27" s="551"/>
      <c r="U27" s="551"/>
      <c r="V27" s="551"/>
      <c r="W27" s="551"/>
      <c r="X27" s="552"/>
      <c r="Y27" s="540"/>
    </row>
    <row r="28" spans="1:25" ht="15">
      <c r="A28" s="549"/>
      <c r="B28" s="553" t="s">
        <v>305</v>
      </c>
      <c r="C28" s="553"/>
      <c r="D28" s="335">
        <f>Entrada!J72</f>
        <v>0</v>
      </c>
      <c r="E28" s="232"/>
      <c r="F28" s="551"/>
      <c r="G28" s="551"/>
      <c r="H28" s="551"/>
      <c r="I28" s="551"/>
      <c r="J28" s="551"/>
      <c r="K28" s="551"/>
      <c r="L28" s="551"/>
      <c r="M28" s="551"/>
      <c r="N28" s="551"/>
      <c r="O28" s="551"/>
      <c r="P28" s="551"/>
      <c r="Q28" s="551"/>
      <c r="R28" s="551"/>
      <c r="S28" s="551"/>
      <c r="T28" s="551"/>
      <c r="U28" s="551"/>
      <c r="V28" s="551"/>
      <c r="W28" s="551"/>
      <c r="X28" s="552"/>
      <c r="Y28" s="540"/>
    </row>
    <row r="29" spans="1:25" ht="15">
      <c r="A29" s="546">
        <v>2.4</v>
      </c>
      <c r="B29" s="547" t="s">
        <v>134</v>
      </c>
      <c r="C29" s="547"/>
      <c r="D29" s="335">
        <f>Entrada!J73</f>
        <v>123138.22499999999</v>
      </c>
      <c r="E29" s="232"/>
      <c r="F29" s="551"/>
      <c r="G29" s="551"/>
      <c r="H29" s="551"/>
      <c r="I29" s="551"/>
      <c r="J29" s="551"/>
      <c r="K29" s="551"/>
      <c r="L29" s="551"/>
      <c r="M29" s="551"/>
      <c r="N29" s="551"/>
      <c r="O29" s="551"/>
      <c r="P29" s="551"/>
      <c r="Q29" s="551"/>
      <c r="R29" s="551"/>
      <c r="S29" s="551"/>
      <c r="T29" s="551"/>
      <c r="U29" s="551"/>
      <c r="V29" s="551"/>
      <c r="W29" s="551"/>
      <c r="X29" s="552"/>
      <c r="Y29" s="540"/>
    </row>
    <row r="30" spans="1:25" ht="15">
      <c r="A30" s="549"/>
      <c r="B30" s="457"/>
      <c r="C30" s="457"/>
      <c r="D30" s="335"/>
      <c r="E30" s="232"/>
      <c r="F30" s="551"/>
      <c r="G30" s="551"/>
      <c r="H30" s="551"/>
      <c r="I30" s="551"/>
      <c r="J30" s="551"/>
      <c r="K30" s="551"/>
      <c r="L30" s="551"/>
      <c r="M30" s="551"/>
      <c r="N30" s="551"/>
      <c r="O30" s="551"/>
      <c r="P30" s="551"/>
      <c r="Q30" s="551"/>
      <c r="R30" s="551"/>
      <c r="S30" s="551"/>
      <c r="T30" s="551"/>
      <c r="U30" s="551"/>
      <c r="V30" s="551"/>
      <c r="W30" s="551"/>
      <c r="X30" s="552"/>
      <c r="Y30" s="540"/>
    </row>
    <row r="31" spans="1:25" ht="15">
      <c r="A31" s="546">
        <v>2.5</v>
      </c>
      <c r="B31" s="457" t="s">
        <v>133</v>
      </c>
      <c r="C31" s="457"/>
      <c r="D31" s="335">
        <f>Entrada!J74</f>
        <v>89366.77398599999</v>
      </c>
      <c r="E31" s="232"/>
      <c r="F31" s="551"/>
      <c r="G31" s="551"/>
      <c r="H31" s="551"/>
      <c r="I31" s="551"/>
      <c r="J31" s="551"/>
      <c r="K31" s="551"/>
      <c r="L31" s="551"/>
      <c r="M31" s="551"/>
      <c r="N31" s="551"/>
      <c r="O31" s="551"/>
      <c r="P31" s="551"/>
      <c r="Q31" s="551"/>
      <c r="R31" s="551"/>
      <c r="S31" s="551"/>
      <c r="T31" s="551"/>
      <c r="U31" s="551"/>
      <c r="V31" s="551"/>
      <c r="W31" s="551"/>
      <c r="X31" s="552"/>
      <c r="Y31" s="540"/>
    </row>
    <row r="32" spans="1:25" ht="15">
      <c r="A32" s="546">
        <v>2.6</v>
      </c>
      <c r="B32" s="457" t="s">
        <v>130</v>
      </c>
      <c r="C32" s="457"/>
      <c r="D32" s="335">
        <f>Entrada!J75*(D16+D23+D26+D29)</f>
        <v>88422.15198600001</v>
      </c>
      <c r="E32" s="232"/>
      <c r="F32" s="551"/>
      <c r="G32" s="551"/>
      <c r="H32" s="551"/>
      <c r="I32" s="551"/>
      <c r="J32" s="551"/>
      <c r="K32" s="551"/>
      <c r="L32" s="551"/>
      <c r="M32" s="551"/>
      <c r="N32" s="551"/>
      <c r="O32" s="551"/>
      <c r="P32" s="551"/>
      <c r="Q32" s="551"/>
      <c r="R32" s="551"/>
      <c r="S32" s="551"/>
      <c r="T32" s="551"/>
      <c r="U32" s="551"/>
      <c r="V32" s="551"/>
      <c r="W32" s="551"/>
      <c r="X32" s="552"/>
      <c r="Y32" s="540"/>
    </row>
    <row r="33" spans="1:25" ht="15">
      <c r="A33" s="549"/>
      <c r="B33" s="457"/>
      <c r="C33" s="457"/>
      <c r="D33" s="335"/>
      <c r="E33" s="232"/>
      <c r="F33" s="551"/>
      <c r="G33" s="551"/>
      <c r="H33" s="551"/>
      <c r="I33" s="551"/>
      <c r="J33" s="551"/>
      <c r="K33" s="551"/>
      <c r="L33" s="551"/>
      <c r="M33" s="551"/>
      <c r="N33" s="551"/>
      <c r="O33" s="551"/>
      <c r="P33" s="551"/>
      <c r="Q33" s="551"/>
      <c r="R33" s="551"/>
      <c r="S33" s="551"/>
      <c r="T33" s="551"/>
      <c r="U33" s="551"/>
      <c r="V33" s="551"/>
      <c r="W33" s="551"/>
      <c r="X33" s="552"/>
      <c r="Y33" s="540"/>
    </row>
    <row r="34" spans="1:25" ht="15">
      <c r="A34" s="549">
        <v>3</v>
      </c>
      <c r="B34" s="547" t="s">
        <v>210</v>
      </c>
      <c r="C34" s="547"/>
      <c r="D34" s="335">
        <f>SUM(D35:D36)</f>
        <v>18892.44</v>
      </c>
      <c r="E34" s="232"/>
      <c r="F34" s="551"/>
      <c r="G34" s="551"/>
      <c r="H34" s="551"/>
      <c r="I34" s="551"/>
      <c r="J34" s="551"/>
      <c r="K34" s="551"/>
      <c r="L34" s="551"/>
      <c r="M34" s="551"/>
      <c r="N34" s="551"/>
      <c r="O34" s="551"/>
      <c r="P34" s="551"/>
      <c r="Q34" s="551"/>
      <c r="R34" s="551"/>
      <c r="S34" s="551"/>
      <c r="T34" s="551"/>
      <c r="U34" s="551"/>
      <c r="V34" s="551"/>
      <c r="W34" s="551"/>
      <c r="X34" s="552"/>
      <c r="Y34" s="540"/>
    </row>
    <row r="35" spans="1:25" ht="15">
      <c r="A35" s="549">
        <v>3.1</v>
      </c>
      <c r="B35" s="457" t="s">
        <v>132</v>
      </c>
      <c r="C35" s="457"/>
      <c r="D35" s="335">
        <f>Entrada!J78</f>
        <v>18892.44</v>
      </c>
      <c r="E35" s="232"/>
      <c r="F35" s="551"/>
      <c r="G35" s="551"/>
      <c r="H35" s="551"/>
      <c r="I35" s="551"/>
      <c r="J35" s="551"/>
      <c r="K35" s="551"/>
      <c r="L35" s="551"/>
      <c r="M35" s="551"/>
      <c r="N35" s="551"/>
      <c r="O35" s="551"/>
      <c r="P35" s="551"/>
      <c r="Q35" s="551"/>
      <c r="R35" s="551"/>
      <c r="S35" s="551"/>
      <c r="T35" s="551"/>
      <c r="U35" s="551"/>
      <c r="V35" s="551"/>
      <c r="W35" s="551"/>
      <c r="X35" s="552"/>
      <c r="Y35" s="540"/>
    </row>
    <row r="36" spans="1:25" ht="15">
      <c r="A36" s="549"/>
      <c r="B36" s="457" t="s">
        <v>381</v>
      </c>
      <c r="C36" s="457"/>
      <c r="D36" s="335">
        <f>Entrada!J79</f>
        <v>0</v>
      </c>
      <c r="E36" s="232"/>
      <c r="F36" s="551"/>
      <c r="G36" s="551"/>
      <c r="H36" s="551"/>
      <c r="I36" s="551"/>
      <c r="J36" s="551"/>
      <c r="K36" s="551"/>
      <c r="L36" s="551"/>
      <c r="M36" s="551"/>
      <c r="N36" s="551"/>
      <c r="O36" s="551"/>
      <c r="P36" s="551"/>
      <c r="Q36" s="551"/>
      <c r="R36" s="551"/>
      <c r="S36" s="551"/>
      <c r="T36" s="551"/>
      <c r="U36" s="551"/>
      <c r="V36" s="551"/>
      <c r="W36" s="551"/>
      <c r="X36" s="552"/>
      <c r="Y36" s="540"/>
    </row>
    <row r="37" spans="1:25" ht="8.25" customHeight="1">
      <c r="A37" s="549"/>
      <c r="B37" s="457"/>
      <c r="C37" s="457"/>
      <c r="D37" s="335"/>
      <c r="E37" s="232"/>
      <c r="F37" s="551"/>
      <c r="G37" s="551"/>
      <c r="H37" s="551"/>
      <c r="I37" s="551"/>
      <c r="J37" s="551"/>
      <c r="K37" s="551"/>
      <c r="L37" s="551"/>
      <c r="M37" s="551"/>
      <c r="N37" s="551"/>
      <c r="O37" s="551"/>
      <c r="P37" s="551"/>
      <c r="Q37" s="551"/>
      <c r="R37" s="551"/>
      <c r="S37" s="551"/>
      <c r="T37" s="551"/>
      <c r="U37" s="551"/>
      <c r="V37" s="551"/>
      <c r="W37" s="551"/>
      <c r="X37" s="552"/>
      <c r="Y37" s="540"/>
    </row>
    <row r="38" spans="1:25" ht="15" hidden="1">
      <c r="A38" s="549"/>
      <c r="B38" s="457"/>
      <c r="C38" s="457"/>
      <c r="D38" s="335"/>
      <c r="E38" s="232"/>
      <c r="F38" s="551"/>
      <c r="G38" s="551"/>
      <c r="H38" s="551"/>
      <c r="I38" s="551"/>
      <c r="J38" s="551"/>
      <c r="K38" s="551"/>
      <c r="L38" s="551"/>
      <c r="M38" s="551"/>
      <c r="N38" s="551"/>
      <c r="O38" s="551"/>
      <c r="P38" s="551"/>
      <c r="Q38" s="551"/>
      <c r="R38" s="551"/>
      <c r="S38" s="551"/>
      <c r="T38" s="551"/>
      <c r="U38" s="551"/>
      <c r="V38" s="551"/>
      <c r="W38" s="551"/>
      <c r="X38" s="552"/>
      <c r="Y38" s="540"/>
    </row>
    <row r="39" spans="1:25" ht="15" hidden="1">
      <c r="A39" s="549"/>
      <c r="B39" s="457"/>
      <c r="C39" s="457"/>
      <c r="D39" s="335"/>
      <c r="E39" s="232"/>
      <c r="F39" s="551"/>
      <c r="G39" s="551"/>
      <c r="H39" s="551"/>
      <c r="I39" s="551"/>
      <c r="J39" s="551"/>
      <c r="K39" s="551"/>
      <c r="L39" s="551"/>
      <c r="M39" s="551"/>
      <c r="N39" s="551"/>
      <c r="O39" s="551"/>
      <c r="P39" s="551"/>
      <c r="Q39" s="551"/>
      <c r="R39" s="551"/>
      <c r="S39" s="551"/>
      <c r="T39" s="551"/>
      <c r="U39" s="551"/>
      <c r="V39" s="551"/>
      <c r="W39" s="551"/>
      <c r="X39" s="552"/>
      <c r="Y39" s="540"/>
    </row>
    <row r="40" spans="1:25" ht="8.25" customHeight="1" hidden="1">
      <c r="A40" s="549"/>
      <c r="B40" s="457"/>
      <c r="C40" s="457"/>
      <c r="D40" s="335"/>
      <c r="E40" s="232"/>
      <c r="F40" s="551"/>
      <c r="G40" s="551"/>
      <c r="H40" s="551"/>
      <c r="I40" s="551"/>
      <c r="J40" s="551"/>
      <c r="K40" s="551"/>
      <c r="L40" s="551"/>
      <c r="M40" s="551"/>
      <c r="N40" s="551"/>
      <c r="O40" s="551"/>
      <c r="P40" s="551"/>
      <c r="Q40" s="551"/>
      <c r="R40" s="551"/>
      <c r="S40" s="551"/>
      <c r="T40" s="551"/>
      <c r="U40" s="551"/>
      <c r="V40" s="551"/>
      <c r="W40" s="551"/>
      <c r="X40" s="552"/>
      <c r="Y40" s="540"/>
    </row>
    <row r="41" spans="1:25" ht="15" hidden="1">
      <c r="A41" s="546"/>
      <c r="B41" s="547"/>
      <c r="C41" s="547"/>
      <c r="D41" s="335"/>
      <c r="E41" s="232"/>
      <c r="F41" s="551"/>
      <c r="G41" s="551"/>
      <c r="H41" s="551"/>
      <c r="I41" s="551"/>
      <c r="J41" s="551"/>
      <c r="K41" s="551"/>
      <c r="L41" s="551"/>
      <c r="M41" s="551"/>
      <c r="N41" s="551"/>
      <c r="O41" s="551"/>
      <c r="P41" s="551"/>
      <c r="Q41" s="551"/>
      <c r="R41" s="551"/>
      <c r="S41" s="551"/>
      <c r="T41" s="551"/>
      <c r="U41" s="551"/>
      <c r="V41" s="551"/>
      <c r="W41" s="551"/>
      <c r="X41" s="552"/>
      <c r="Y41" s="540"/>
    </row>
    <row r="42" spans="1:25" ht="15" hidden="1">
      <c r="A42" s="549"/>
      <c r="B42" s="457"/>
      <c r="C42" s="457"/>
      <c r="D42" s="335"/>
      <c r="E42" s="232"/>
      <c r="F42" s="551"/>
      <c r="G42" s="551"/>
      <c r="H42" s="551"/>
      <c r="I42" s="551"/>
      <c r="J42" s="551"/>
      <c r="K42" s="551"/>
      <c r="L42" s="551"/>
      <c r="M42" s="551"/>
      <c r="N42" s="555"/>
      <c r="O42" s="551"/>
      <c r="P42" s="551"/>
      <c r="Q42" s="551"/>
      <c r="R42" s="551"/>
      <c r="S42" s="551"/>
      <c r="T42" s="551"/>
      <c r="U42" s="551"/>
      <c r="V42" s="551"/>
      <c r="W42" s="551"/>
      <c r="X42" s="552"/>
      <c r="Y42" s="540"/>
    </row>
    <row r="43" spans="1:25" ht="15" hidden="1">
      <c r="A43" s="549"/>
      <c r="B43" s="457"/>
      <c r="C43" s="457"/>
      <c r="D43" s="335"/>
      <c r="E43" s="232"/>
      <c r="F43" s="551"/>
      <c r="G43" s="551"/>
      <c r="H43" s="551"/>
      <c r="I43" s="551"/>
      <c r="J43" s="551"/>
      <c r="K43" s="551"/>
      <c r="L43" s="551"/>
      <c r="M43" s="551"/>
      <c r="N43" s="555"/>
      <c r="O43" s="551"/>
      <c r="P43" s="551"/>
      <c r="Q43" s="551"/>
      <c r="R43" s="551"/>
      <c r="S43" s="551"/>
      <c r="T43" s="551"/>
      <c r="U43" s="551"/>
      <c r="V43" s="551"/>
      <c r="W43" s="551"/>
      <c r="X43" s="552"/>
      <c r="Y43" s="540"/>
    </row>
    <row r="44" spans="1:25" ht="9" customHeight="1" hidden="1">
      <c r="A44" s="556"/>
      <c r="B44" s="547"/>
      <c r="C44" s="547"/>
      <c r="D44" s="335"/>
      <c r="E44" s="232"/>
      <c r="F44" s="551"/>
      <c r="G44" s="551"/>
      <c r="H44" s="551"/>
      <c r="I44" s="551"/>
      <c r="J44" s="551"/>
      <c r="K44" s="551"/>
      <c r="L44" s="551"/>
      <c r="M44" s="551"/>
      <c r="N44" s="555"/>
      <c r="O44" s="551"/>
      <c r="P44" s="551"/>
      <c r="Q44" s="551"/>
      <c r="R44" s="551"/>
      <c r="S44" s="551"/>
      <c r="T44" s="551"/>
      <c r="U44" s="551"/>
      <c r="V44" s="551"/>
      <c r="W44" s="551"/>
      <c r="X44" s="552"/>
      <c r="Y44" s="540"/>
    </row>
    <row r="45" spans="1:25" ht="15">
      <c r="A45" s="556"/>
      <c r="B45" s="547" t="s">
        <v>64</v>
      </c>
      <c r="C45" s="547"/>
      <c r="D45" s="335"/>
      <c r="E45" s="551"/>
      <c r="F45" s="551"/>
      <c r="G45" s="551"/>
      <c r="H45" s="551"/>
      <c r="I45" s="551"/>
      <c r="J45" s="551"/>
      <c r="K45" s="551"/>
      <c r="L45" s="551"/>
      <c r="M45" s="551"/>
      <c r="N45" s="551"/>
      <c r="O45" s="551"/>
      <c r="P45" s="551"/>
      <c r="Q45" s="551"/>
      <c r="R45" s="551"/>
      <c r="S45" s="551"/>
      <c r="T45" s="551"/>
      <c r="U45" s="551"/>
      <c r="V45" s="551"/>
      <c r="W45" s="551"/>
      <c r="X45" s="552"/>
      <c r="Y45" s="540"/>
    </row>
    <row r="46" spans="1:25" ht="8.25" customHeight="1">
      <c r="A46" s="556"/>
      <c r="B46" s="457"/>
      <c r="C46" s="457"/>
      <c r="D46" s="551"/>
      <c r="E46" s="551"/>
      <c r="F46" s="551"/>
      <c r="G46" s="551"/>
      <c r="H46" s="551"/>
      <c r="I46" s="551"/>
      <c r="J46" s="551"/>
      <c r="K46" s="551"/>
      <c r="L46" s="551"/>
      <c r="M46" s="551"/>
      <c r="N46" s="551"/>
      <c r="O46" s="551"/>
      <c r="P46" s="551"/>
      <c r="Q46" s="551"/>
      <c r="R46" s="551"/>
      <c r="S46" s="551"/>
      <c r="T46" s="551"/>
      <c r="U46" s="551"/>
      <c r="V46" s="551"/>
      <c r="W46" s="551"/>
      <c r="X46" s="552"/>
      <c r="Y46" s="540"/>
    </row>
    <row r="47" spans="1:25" ht="15">
      <c r="A47" s="557"/>
      <c r="B47" s="564" t="s">
        <v>438</v>
      </c>
      <c r="C47" s="564"/>
      <c r="D47" s="565">
        <f>(D9+D14+D34)*sensInver</f>
        <v>1984016.845692</v>
      </c>
      <c r="E47" s="558"/>
      <c r="F47" s="558"/>
      <c r="G47" s="558"/>
      <c r="H47" s="558"/>
      <c r="I47" s="558"/>
      <c r="J47" s="558"/>
      <c r="K47" s="558"/>
      <c r="L47" s="558"/>
      <c r="M47" s="558"/>
      <c r="N47" s="558"/>
      <c r="O47" s="558"/>
      <c r="P47" s="558"/>
      <c r="Q47" s="558"/>
      <c r="R47" s="558"/>
      <c r="S47" s="558"/>
      <c r="T47" s="558"/>
      <c r="U47" s="558"/>
      <c r="V47" s="558"/>
      <c r="W47" s="558"/>
      <c r="X47" s="559"/>
      <c r="Y47" s="540"/>
    </row>
    <row r="48" spans="1:25" ht="6.75" customHeight="1">
      <c r="A48" s="566"/>
      <c r="B48" s="543"/>
      <c r="C48" s="543"/>
      <c r="D48" s="567"/>
      <c r="E48" s="567"/>
      <c r="F48" s="567"/>
      <c r="G48" s="567"/>
      <c r="H48" s="567"/>
      <c r="I48" s="567"/>
      <c r="J48" s="567"/>
      <c r="K48" s="567"/>
      <c r="L48" s="567"/>
      <c r="M48" s="567"/>
      <c r="N48" s="567"/>
      <c r="O48" s="567"/>
      <c r="P48" s="567"/>
      <c r="Q48" s="567"/>
      <c r="R48" s="567"/>
      <c r="S48" s="567"/>
      <c r="T48" s="567"/>
      <c r="U48" s="567"/>
      <c r="V48" s="567"/>
      <c r="W48" s="567"/>
      <c r="X48" s="568"/>
      <c r="Y48" s="540"/>
    </row>
    <row r="49" spans="1:25" ht="15">
      <c r="A49" s="560"/>
      <c r="B49" s="547" t="s">
        <v>434</v>
      </c>
      <c r="C49" s="771">
        <v>3</v>
      </c>
      <c r="D49" s="232"/>
      <c r="E49" s="232"/>
      <c r="F49" s="232"/>
      <c r="G49" s="232"/>
      <c r="H49" s="232"/>
      <c r="I49" s="232"/>
      <c r="J49" s="232"/>
      <c r="K49" s="232"/>
      <c r="L49" s="232"/>
      <c r="M49" s="232"/>
      <c r="N49" s="232"/>
      <c r="O49" s="232"/>
      <c r="P49" s="232"/>
      <c r="Q49" s="232"/>
      <c r="R49" s="232"/>
      <c r="S49" s="232"/>
      <c r="T49" s="232"/>
      <c r="U49" s="232"/>
      <c r="V49" s="232"/>
      <c r="W49" s="232"/>
      <c r="X49" s="548"/>
      <c r="Y49" s="540"/>
    </row>
    <row r="50" spans="1:25" ht="8.25" customHeight="1">
      <c r="A50" s="593"/>
      <c r="B50" s="594"/>
      <c r="C50" s="594"/>
      <c r="D50" s="595"/>
      <c r="E50" s="595"/>
      <c r="F50" s="595"/>
      <c r="G50" s="595"/>
      <c r="H50" s="595"/>
      <c r="I50" s="595"/>
      <c r="J50" s="595"/>
      <c r="K50" s="595"/>
      <c r="L50" s="595"/>
      <c r="M50" s="595"/>
      <c r="N50" s="595"/>
      <c r="O50" s="595"/>
      <c r="P50" s="595"/>
      <c r="Q50" s="595"/>
      <c r="R50" s="595"/>
      <c r="S50" s="595"/>
      <c r="T50" s="595"/>
      <c r="U50" s="595"/>
      <c r="V50" s="595"/>
      <c r="W50" s="595"/>
      <c r="X50" s="596"/>
      <c r="Y50" s="540"/>
    </row>
    <row r="51" spans="1:25" ht="15">
      <c r="A51" s="566"/>
      <c r="B51" s="354" t="s">
        <v>437</v>
      </c>
      <c r="C51" s="543"/>
      <c r="D51" s="567">
        <f>D47*C49</f>
        <v>5952050.537076</v>
      </c>
      <c r="E51" s="567"/>
      <c r="F51" s="567"/>
      <c r="G51" s="567"/>
      <c r="H51" s="567"/>
      <c r="I51" s="567"/>
      <c r="J51" s="567"/>
      <c r="K51" s="567"/>
      <c r="L51" s="567"/>
      <c r="M51" s="567"/>
      <c r="N51" s="567"/>
      <c r="O51" s="567"/>
      <c r="P51" s="567"/>
      <c r="Q51" s="567"/>
      <c r="R51" s="567"/>
      <c r="S51" s="567"/>
      <c r="T51" s="567"/>
      <c r="U51" s="567"/>
      <c r="V51" s="567"/>
      <c r="W51" s="567"/>
      <c r="X51" s="568"/>
      <c r="Y51" s="540"/>
    </row>
    <row r="52" spans="1:25" ht="26.25">
      <c r="A52" s="569" t="s">
        <v>1</v>
      </c>
      <c r="B52" s="570" t="s">
        <v>141</v>
      </c>
      <c r="C52" s="570"/>
      <c r="D52" s="567"/>
      <c r="E52" s="567"/>
      <c r="F52" s="567"/>
      <c r="G52" s="567"/>
      <c r="H52" s="567"/>
      <c r="I52" s="567"/>
      <c r="J52" s="567"/>
      <c r="K52" s="567"/>
      <c r="L52" s="567"/>
      <c r="M52" s="567"/>
      <c r="N52" s="567"/>
      <c r="O52" s="567"/>
      <c r="P52" s="567"/>
      <c r="Q52" s="567"/>
      <c r="R52" s="567"/>
      <c r="S52" s="567"/>
      <c r="T52" s="567"/>
      <c r="U52" s="567"/>
      <c r="V52" s="567"/>
      <c r="W52" s="567"/>
      <c r="X52" s="568"/>
      <c r="Y52" s="540"/>
    </row>
    <row r="53" spans="1:25" ht="15">
      <c r="A53" s="556"/>
      <c r="B53" s="457" t="s">
        <v>356</v>
      </c>
      <c r="C53" s="457"/>
      <c r="D53" s="551"/>
      <c r="E53" s="551"/>
      <c r="F53" s="551"/>
      <c r="G53" s="551"/>
      <c r="H53" s="551"/>
      <c r="I53" s="551"/>
      <c r="J53" s="551"/>
      <c r="K53" s="551"/>
      <c r="L53" s="551"/>
      <c r="M53" s="551"/>
      <c r="N53" s="551"/>
      <c r="O53" s="551"/>
      <c r="P53" s="551"/>
      <c r="Q53" s="551"/>
      <c r="R53" s="551"/>
      <c r="S53" s="551"/>
      <c r="T53" s="551"/>
      <c r="U53" s="551"/>
      <c r="V53" s="551"/>
      <c r="W53" s="551"/>
      <c r="X53" s="552"/>
      <c r="Y53" s="540"/>
    </row>
    <row r="54" spans="1:25" ht="15">
      <c r="A54" s="556"/>
      <c r="B54" s="553" t="s">
        <v>357</v>
      </c>
      <c r="C54" s="553"/>
      <c r="D54" s="551"/>
      <c r="E54" s="551">
        <f>IF(IF(Entrada!$J$92&lt;20,CEILING(E6,Entrada!$J$92),"")=E6,$D$18*FNP*SenPcom,"")</f>
      </c>
      <c r="F54" s="551">
        <f>IF(IF(Entrada!$J$92&lt;20,CEILING(F6,Entrada!$J$92),"")=F6,$D$18*FNP*SenPcom,"")</f>
      </c>
      <c r="G54" s="551">
        <f>IF(IF(Entrada!$J$92&lt;20,CEILING(G6,Entrada!$J$92),"")=G6,$D$18*FNP*SenPcom,"")</f>
      </c>
      <c r="H54" s="551">
        <f>IF(IF(Entrada!$J$92&lt;20,CEILING(H6,Entrada!$J$92),"")=H6,$D$18*FNP*SenPcom,"")</f>
        <v>1586964.96</v>
      </c>
      <c r="I54" s="551">
        <f>IF(IF(Entrada!$J$92&lt;20,CEILING(I6,Entrada!$J$92),"")=I6,$D$18*FNP*SenPcom,"")</f>
      </c>
      <c r="J54" s="551">
        <f>IF(IF(Entrada!$J$92&lt;20,CEILING(J6,Entrada!$J$92),"")=J6,$D$18*FNP*SenPcom,"")</f>
      </c>
      <c r="K54" s="551">
        <f>IF(IF(Entrada!$J$92&lt;20,CEILING(K6,Entrada!$J$92),"")=K6,$D$18*FNP*SenPcom,"")</f>
      </c>
      <c r="L54" s="551">
        <f>IF(IF(Entrada!$J$92&lt;20,CEILING(L6,Entrada!$J$92),"")=L6,$D$18*FNP*SenPcom,"")</f>
        <v>1586964.96</v>
      </c>
      <c r="M54" s="551">
        <f>IF(IF(Entrada!$J$92&lt;20,CEILING(M6,Entrada!$J$92),"")=M6,$D$18*FNP*SenPcom,"")</f>
      </c>
      <c r="N54" s="551">
        <f>IF(IF(Entrada!$J$92&lt;20,CEILING(N6,Entrada!$J$92),"")=N6,$D$18*FNP*SenPcom,"")</f>
      </c>
      <c r="O54" s="551">
        <f>IF(IF(Entrada!$J$92&lt;20,CEILING(O6,Entrada!$J$92),"")=O6,$D$18*FNP*SenPcom,"")</f>
      </c>
      <c r="P54" s="551">
        <f>IF(IF(Entrada!$J$92&lt;20,CEILING(P6,Entrada!$J$92),"")=P6,$D$18*FNP*SenPcom,"")</f>
        <v>1586964.96</v>
      </c>
      <c r="Q54" s="551">
        <f>IF(IF(Entrada!$J$92&lt;20,CEILING(Q6,Entrada!$J$92),"")=Q6,$D$18*FNP*SenPcom,"")</f>
      </c>
      <c r="R54" s="551">
        <f>IF(IF(Entrada!$J$92&lt;20,CEILING(R6,Entrada!$J$92),"")=R6,$D$18*FNP*SenPcom,"")</f>
      </c>
      <c r="S54" s="551">
        <f>IF(IF(Entrada!$J$92&lt;20,CEILING(S6,Entrada!$J$92),"")=S6,$D$18*FNP*SenPcom,"")</f>
      </c>
      <c r="T54" s="551">
        <f>IF(IF(Entrada!$J$92&lt;20,CEILING(T6,Entrada!$J$92),"")=T6,$D$18*FNP*SenPcom,"")</f>
        <v>1586964.96</v>
      </c>
      <c r="U54" s="551">
        <f>IF(IF(Entrada!$J$92&lt;20,CEILING(U6,Entrada!$J$92),"")=U6,$D$18*FNP*SenPcom,"")</f>
      </c>
      <c r="V54" s="551">
        <f>IF(IF(Entrada!$J$92&lt;20,CEILING(V6,Entrada!$J$92),"")=V6,$D$18*FNP*SenPcom,"")</f>
      </c>
      <c r="W54" s="551">
        <f>IF(IF(Entrada!$J$92&lt;20,CEILING(W6,Entrada!$J$92),"")=W6,$D$18*FNP*SenPcom,"")</f>
      </c>
      <c r="X54" s="552">
        <f>IF(IF(Entrada!$J$92&lt;20,CEILING(X6,Entrada!$J$92),"")=X6,$D$18*FNP*SenPcom,"")</f>
        <v>1586964.96</v>
      </c>
      <c r="Y54" s="540"/>
    </row>
    <row r="55" spans="1:25" ht="15">
      <c r="A55" s="556"/>
      <c r="B55" s="553" t="s">
        <v>299</v>
      </c>
      <c r="C55" s="553"/>
      <c r="D55" s="551"/>
      <c r="E55" s="551">
        <f>IF(IF(Entrada!$J$91&lt;20,CEILING(E6,Entrada!$J$91),"")=E6,$D$19*FNP,"")</f>
      </c>
      <c r="F55" s="551">
        <f>IF(IF(Entrada!$J$91&lt;20,CEILING(F6,Entrada!$J$91),"")=F6,$D$19*FNP,"")</f>
      </c>
      <c r="G55" s="551">
        <f>IF(IF(Entrada!$J$91&lt;20,CEILING(G6,Entrada!$J$91),"")=G6,$D$19*FNP,"")</f>
      </c>
      <c r="H55" s="551">
        <f>IF(IF(Entrada!$J$91&lt;20,CEILING(H6,Entrada!$J$91),"")=H6,$D$19*FNP,"")</f>
      </c>
      <c r="I55" s="551">
        <f>IF(IF(Entrada!$J$91&lt;20,CEILING(I6,Entrada!$J$91),"")=I6,$D$19*FNP,"")</f>
      </c>
      <c r="J55" s="551">
        <f>IF(IF(Entrada!$J$91&lt;20,CEILING(J6,Entrada!$J$91),"")=J6,$D$19*FNP,"")</f>
      </c>
      <c r="K55" s="551">
        <f>IF(IF(Entrada!$J$91&lt;20,CEILING(K6,Entrada!$J$91),"")=K6,$D$19*FNP,"")</f>
      </c>
      <c r="L55" s="551">
        <f>IF(IF(Entrada!$J$91&lt;20,CEILING(L6,Entrada!$J$91),"")=L6,$D$19*FNP,"")</f>
      </c>
      <c r="M55" s="551">
        <f>IF(IF(Entrada!$J$91&lt;20,CEILING(M6,Entrada!$J$91),"")=M6,$D$19*FNP,"")</f>
      </c>
      <c r="N55" s="551">
        <f>IF(IF(Entrada!$J$91&lt;20,CEILING(N6,Entrada!$J$91),"")=N6,$D$19*FNP,"")</f>
        <v>283386.6</v>
      </c>
      <c r="O55" s="551">
        <f>IF(IF(Entrada!$J$91&lt;20,CEILING(O6,Entrada!$J$91),"")=O6,$D$19*FNP,"")</f>
      </c>
      <c r="P55" s="551">
        <f>IF(IF(Entrada!$J$91&lt;20,CEILING(P6,Entrada!$J$91),"")=P6,$D$19*FNP,"")</f>
      </c>
      <c r="Q55" s="551">
        <f>IF(IF(Entrada!$J$91&lt;20,CEILING(Q6,Entrada!$J$91),"")=Q6,$D$19*FNP,"")</f>
      </c>
      <c r="R55" s="551">
        <f>IF(IF(Entrada!$J$91&lt;20,CEILING(R6,Entrada!$J$91),"")=R6,$D$19*FNP,"")</f>
      </c>
      <c r="S55" s="551">
        <f>IF(IF(Entrada!$J$91&lt;20,CEILING(S6,Entrada!$J$91),"")=S6,$D$19*FNP,"")</f>
      </c>
      <c r="T55" s="551">
        <f>IF(IF(Entrada!$J$91&lt;20,CEILING(T6,Entrada!$J$91),"")=T6,$D$19*FNP,"")</f>
      </c>
      <c r="U55" s="551">
        <f>IF(IF(Entrada!$J$91&lt;20,CEILING(U6,Entrada!$J$91),"")=U6,$D$19*FNP,"")</f>
      </c>
      <c r="V55" s="551">
        <f>IF(IF(Entrada!$J$91&lt;20,CEILING(V6,Entrada!$J$91),"")=V6,$D$19*FNP,"")</f>
      </c>
      <c r="W55" s="551">
        <f>IF(IF(Entrada!$J$91&lt;20,CEILING(W6,Entrada!$J$91),"")=W6,$D$19*FNP,"")</f>
      </c>
      <c r="X55" s="552">
        <f>IF(IF(Entrada!$J$91&lt;20,CEILING(X6,Entrada!$J$91),"")=X6,$D$19*FNP,"")</f>
        <v>283386.6</v>
      </c>
      <c r="Y55" s="540"/>
    </row>
    <row r="56" spans="1:25" ht="15">
      <c r="A56" s="556"/>
      <c r="B56" s="553" t="s">
        <v>436</v>
      </c>
      <c r="C56" s="553"/>
      <c r="D56" s="551"/>
      <c r="E56" s="551"/>
      <c r="F56" s="551"/>
      <c r="G56" s="551"/>
      <c r="H56" s="551"/>
      <c r="I56" s="551"/>
      <c r="J56" s="551"/>
      <c r="K56" s="551"/>
      <c r="L56" s="551"/>
      <c r="M56" s="551"/>
      <c r="N56" s="551"/>
      <c r="O56" s="551"/>
      <c r="P56" s="551"/>
      <c r="Q56" s="551"/>
      <c r="R56" s="551"/>
      <c r="S56" s="551"/>
      <c r="T56" s="551"/>
      <c r="U56" s="551"/>
      <c r="V56" s="551"/>
      <c r="W56" s="551"/>
      <c r="X56" s="552"/>
      <c r="Y56" s="540"/>
    </row>
    <row r="57" spans="1:25" ht="15">
      <c r="A57" s="556"/>
      <c r="B57" s="457" t="s">
        <v>6</v>
      </c>
      <c r="C57" s="457"/>
      <c r="D57" s="551"/>
      <c r="E57" s="551">
        <f>D14*FNP*CoymF*senCoym</f>
        <v>116773.91794151999</v>
      </c>
      <c r="F57" s="551">
        <f>+E57</f>
        <v>116773.91794151999</v>
      </c>
      <c r="G57" s="551">
        <f aca="true" t="shared" si="1" ref="G57:X57">+F57</f>
        <v>116773.91794151999</v>
      </c>
      <c r="H57" s="551">
        <f t="shared" si="1"/>
        <v>116773.91794151999</v>
      </c>
      <c r="I57" s="551">
        <f t="shared" si="1"/>
        <v>116773.91794151999</v>
      </c>
      <c r="J57" s="551">
        <f t="shared" si="1"/>
        <v>116773.91794151999</v>
      </c>
      <c r="K57" s="551">
        <f t="shared" si="1"/>
        <v>116773.91794151999</v>
      </c>
      <c r="L57" s="551">
        <f t="shared" si="1"/>
        <v>116773.91794151999</v>
      </c>
      <c r="M57" s="551">
        <f t="shared" si="1"/>
        <v>116773.91794151999</v>
      </c>
      <c r="N57" s="551">
        <f t="shared" si="1"/>
        <v>116773.91794151999</v>
      </c>
      <c r="O57" s="551">
        <f t="shared" si="1"/>
        <v>116773.91794151999</v>
      </c>
      <c r="P57" s="551">
        <f t="shared" si="1"/>
        <v>116773.91794151999</v>
      </c>
      <c r="Q57" s="551">
        <f t="shared" si="1"/>
        <v>116773.91794151999</v>
      </c>
      <c r="R57" s="551">
        <f t="shared" si="1"/>
        <v>116773.91794151999</v>
      </c>
      <c r="S57" s="551">
        <f t="shared" si="1"/>
        <v>116773.91794151999</v>
      </c>
      <c r="T57" s="551">
        <f t="shared" si="1"/>
        <v>116773.91794151999</v>
      </c>
      <c r="U57" s="551">
        <f t="shared" si="1"/>
        <v>116773.91794151999</v>
      </c>
      <c r="V57" s="551">
        <f t="shared" si="1"/>
        <v>116773.91794151999</v>
      </c>
      <c r="W57" s="551">
        <f t="shared" si="1"/>
        <v>116773.91794151999</v>
      </c>
      <c r="X57" s="552">
        <f t="shared" si="1"/>
        <v>116773.91794151999</v>
      </c>
      <c r="Y57" s="540"/>
    </row>
    <row r="58" spans="1:25" ht="15">
      <c r="A58" s="556"/>
      <c r="B58" s="457" t="s">
        <v>7</v>
      </c>
      <c r="C58" s="457"/>
      <c r="D58" s="551"/>
      <c r="E58" s="551">
        <f>E77</f>
        <v>78059.51441139966</v>
      </c>
      <c r="F58" s="551">
        <f aca="true" t="shared" si="2" ref="F58:X58">F77</f>
        <v>80199.0215517997</v>
      </c>
      <c r="G58" s="551">
        <f t="shared" si="2"/>
        <v>82032.88481499965</v>
      </c>
      <c r="H58" s="551">
        <f t="shared" si="2"/>
        <v>0</v>
      </c>
      <c r="I58" s="551">
        <f t="shared" si="2"/>
        <v>86159.82078579966</v>
      </c>
      <c r="J58" s="551">
        <f t="shared" si="2"/>
        <v>88299.3279261997</v>
      </c>
      <c r="K58" s="551">
        <f t="shared" si="2"/>
        <v>90438.83506659967</v>
      </c>
      <c r="L58" s="551">
        <f>L77</f>
        <v>0</v>
      </c>
      <c r="M58" s="551">
        <f t="shared" si="2"/>
        <v>94717.84934739964</v>
      </c>
      <c r="N58" s="551">
        <f t="shared" si="2"/>
        <v>24809.91580983358</v>
      </c>
      <c r="O58" s="551">
        <f t="shared" si="2"/>
        <v>98996.86362819964</v>
      </c>
      <c r="P58" s="551">
        <f t="shared" si="2"/>
        <v>0</v>
      </c>
      <c r="Q58" s="551">
        <f t="shared" si="2"/>
        <v>103275.87790899962</v>
      </c>
      <c r="R58" s="551">
        <f t="shared" si="2"/>
        <v>105874.59449379968</v>
      </c>
      <c r="S58" s="551">
        <f t="shared" si="2"/>
        <v>108014.10163419975</v>
      </c>
      <c r="T58" s="551">
        <f t="shared" si="2"/>
        <v>0</v>
      </c>
      <c r="U58" s="551">
        <f t="shared" si="2"/>
        <v>112598.75979219968</v>
      </c>
      <c r="V58" s="551">
        <f t="shared" si="2"/>
        <v>115043.91080979971</v>
      </c>
      <c r="W58" s="551">
        <f t="shared" si="2"/>
        <v>117489.06182739971</v>
      </c>
      <c r="X58" s="552">
        <f t="shared" si="2"/>
        <v>0</v>
      </c>
      <c r="Y58" s="540"/>
    </row>
    <row r="59" spans="1:25" ht="15">
      <c r="A59" s="571"/>
      <c r="B59" s="354" t="s">
        <v>144</v>
      </c>
      <c r="C59" s="354"/>
      <c r="D59" s="572"/>
      <c r="E59" s="572">
        <f>SUM(E53:E58)</f>
        <v>194833.43235291966</v>
      </c>
      <c r="F59" s="572">
        <f aca="true" t="shared" si="3" ref="F59:X59">SUM(F53:F58)</f>
        <v>196972.9394933197</v>
      </c>
      <c r="G59" s="572">
        <f t="shared" si="3"/>
        <v>198806.80275651964</v>
      </c>
      <c r="H59" s="572">
        <f>SUM(H53:H58)</f>
        <v>1703738.87794152</v>
      </c>
      <c r="I59" s="572">
        <f t="shared" si="3"/>
        <v>202933.73872731964</v>
      </c>
      <c r="J59" s="572">
        <f t="shared" si="3"/>
        <v>205073.2458677197</v>
      </c>
      <c r="K59" s="572">
        <f t="shared" si="3"/>
        <v>207212.75300811965</v>
      </c>
      <c r="L59" s="572">
        <f>SUM(L53:L58)</f>
        <v>1703738.87794152</v>
      </c>
      <c r="M59" s="572">
        <f t="shared" si="3"/>
        <v>211491.76728891963</v>
      </c>
      <c r="N59" s="572">
        <f t="shared" si="3"/>
        <v>424970.4337513535</v>
      </c>
      <c r="O59" s="572">
        <f t="shared" si="3"/>
        <v>215770.78156971963</v>
      </c>
      <c r="P59" s="572">
        <f t="shared" si="3"/>
        <v>1703738.87794152</v>
      </c>
      <c r="Q59" s="572">
        <f t="shared" si="3"/>
        <v>220049.79585051961</v>
      </c>
      <c r="R59" s="572">
        <f t="shared" si="3"/>
        <v>222648.51243531966</v>
      </c>
      <c r="S59" s="572">
        <f t="shared" si="3"/>
        <v>224788.01957571972</v>
      </c>
      <c r="T59" s="572">
        <f t="shared" si="3"/>
        <v>1703738.87794152</v>
      </c>
      <c r="U59" s="572">
        <f t="shared" si="3"/>
        <v>229372.67773371967</v>
      </c>
      <c r="V59" s="572">
        <f t="shared" si="3"/>
        <v>231817.8287513197</v>
      </c>
      <c r="W59" s="572">
        <f t="shared" si="3"/>
        <v>234262.9797689197</v>
      </c>
      <c r="X59" s="573">
        <f t="shared" si="3"/>
        <v>1987125.47794152</v>
      </c>
      <c r="Y59" s="540"/>
    </row>
    <row r="60" spans="1:25" ht="26.25">
      <c r="A60" s="569" t="s">
        <v>8</v>
      </c>
      <c r="B60" s="570" t="s">
        <v>142</v>
      </c>
      <c r="C60" s="570"/>
      <c r="D60" s="567"/>
      <c r="E60" s="544"/>
      <c r="F60" s="544"/>
      <c r="G60" s="544"/>
      <c r="H60" s="544"/>
      <c r="I60" s="544"/>
      <c r="J60" s="544"/>
      <c r="K60" s="544"/>
      <c r="L60" s="544"/>
      <c r="M60" s="544"/>
      <c r="N60" s="544"/>
      <c r="O60" s="544"/>
      <c r="P60" s="544"/>
      <c r="Q60" s="544"/>
      <c r="R60" s="544"/>
      <c r="S60" s="544"/>
      <c r="T60" s="544"/>
      <c r="U60" s="544"/>
      <c r="V60" s="544"/>
      <c r="W60" s="544"/>
      <c r="X60" s="545"/>
      <c r="Y60" s="540"/>
    </row>
    <row r="61" spans="1:25" ht="15">
      <c r="A61" s="574"/>
      <c r="B61" s="457" t="s">
        <v>356</v>
      </c>
      <c r="C61" s="457"/>
      <c r="D61" s="232"/>
      <c r="E61" s="551"/>
      <c r="F61" s="551"/>
      <c r="G61" s="551"/>
      <c r="H61" s="551"/>
      <c r="I61" s="551"/>
      <c r="J61" s="551"/>
      <c r="K61" s="551"/>
      <c r="L61" s="551"/>
      <c r="M61" s="551"/>
      <c r="N61" s="551"/>
      <c r="O61" s="551"/>
      <c r="P61" s="551"/>
      <c r="Q61" s="551"/>
      <c r="R61" s="551"/>
      <c r="S61" s="551"/>
      <c r="T61" s="551"/>
      <c r="U61" s="551"/>
      <c r="V61" s="551"/>
      <c r="W61" s="551"/>
      <c r="X61" s="552"/>
      <c r="Y61" s="540"/>
    </row>
    <row r="62" spans="1:25" ht="15">
      <c r="A62" s="574"/>
      <c r="B62" s="457" t="s">
        <v>6</v>
      </c>
      <c r="C62" s="457"/>
      <c r="D62" s="232"/>
      <c r="E62" s="551"/>
      <c r="F62" s="551"/>
      <c r="G62" s="551"/>
      <c r="H62" s="551"/>
      <c r="I62" s="551"/>
      <c r="J62" s="551"/>
      <c r="K62" s="551"/>
      <c r="L62" s="551"/>
      <c r="M62" s="551"/>
      <c r="N62" s="551"/>
      <c r="O62" s="551"/>
      <c r="P62" s="551"/>
      <c r="Q62" s="551"/>
      <c r="R62" s="551"/>
      <c r="S62" s="551"/>
      <c r="T62" s="551"/>
      <c r="U62" s="551"/>
      <c r="V62" s="551"/>
      <c r="W62" s="551"/>
      <c r="X62" s="552"/>
      <c r="Y62" s="540"/>
    </row>
    <row r="63" spans="1:25" ht="15">
      <c r="A63" s="556"/>
      <c r="B63" s="457" t="s">
        <v>7</v>
      </c>
      <c r="C63" s="457"/>
      <c r="D63" s="551"/>
      <c r="E63" s="551"/>
      <c r="F63" s="551"/>
      <c r="G63" s="551"/>
      <c r="H63" s="551"/>
      <c r="I63" s="551"/>
      <c r="J63" s="551"/>
      <c r="K63" s="551"/>
      <c r="L63" s="551"/>
      <c r="M63" s="551"/>
      <c r="N63" s="551"/>
      <c r="O63" s="551"/>
      <c r="P63" s="551"/>
      <c r="Q63" s="551"/>
      <c r="R63" s="551"/>
      <c r="S63" s="551"/>
      <c r="T63" s="551"/>
      <c r="U63" s="551"/>
      <c r="V63" s="551"/>
      <c r="W63" s="551"/>
      <c r="X63" s="552"/>
      <c r="Y63" s="540"/>
    </row>
    <row r="64" spans="1:25" ht="15">
      <c r="A64" s="556"/>
      <c r="B64" s="354" t="s">
        <v>144</v>
      </c>
      <c r="C64" s="354"/>
      <c r="D64" s="572"/>
      <c r="E64" s="572">
        <f>SUM(E61:E63)</f>
        <v>0</v>
      </c>
      <c r="F64" s="572">
        <f aca="true" t="shared" si="4" ref="F64:X64">SUM(F61:F63)</f>
        <v>0</v>
      </c>
      <c r="G64" s="572">
        <f t="shared" si="4"/>
        <v>0</v>
      </c>
      <c r="H64" s="572">
        <f t="shared" si="4"/>
        <v>0</v>
      </c>
      <c r="I64" s="572">
        <f t="shared" si="4"/>
        <v>0</v>
      </c>
      <c r="J64" s="572">
        <f t="shared" si="4"/>
        <v>0</v>
      </c>
      <c r="K64" s="572">
        <f t="shared" si="4"/>
        <v>0</v>
      </c>
      <c r="L64" s="572">
        <f t="shared" si="4"/>
        <v>0</v>
      </c>
      <c r="M64" s="572">
        <f t="shared" si="4"/>
        <v>0</v>
      </c>
      <c r="N64" s="572">
        <f t="shared" si="4"/>
        <v>0</v>
      </c>
      <c r="O64" s="572">
        <f t="shared" si="4"/>
        <v>0</v>
      </c>
      <c r="P64" s="572">
        <f t="shared" si="4"/>
        <v>0</v>
      </c>
      <c r="Q64" s="572">
        <f t="shared" si="4"/>
        <v>0</v>
      </c>
      <c r="R64" s="572">
        <f t="shared" si="4"/>
        <v>0</v>
      </c>
      <c r="S64" s="572">
        <f t="shared" si="4"/>
        <v>0</v>
      </c>
      <c r="T64" s="572">
        <f t="shared" si="4"/>
        <v>0</v>
      </c>
      <c r="U64" s="572">
        <f t="shared" si="4"/>
        <v>0</v>
      </c>
      <c r="V64" s="572">
        <f t="shared" si="4"/>
        <v>0</v>
      </c>
      <c r="W64" s="572">
        <f t="shared" si="4"/>
        <v>0</v>
      </c>
      <c r="X64" s="573">
        <f t="shared" si="4"/>
        <v>0</v>
      </c>
      <c r="Y64" s="540"/>
    </row>
    <row r="65" spans="1:25" ht="15">
      <c r="A65" s="571"/>
      <c r="B65" s="575" t="s">
        <v>9</v>
      </c>
      <c r="C65" s="575"/>
      <c r="D65" s="572">
        <f>D51+D59</f>
        <v>5952050.537076</v>
      </c>
      <c r="E65" s="572">
        <f aca="true" t="shared" si="5" ref="E65:X65">E47+E59-E64</f>
        <v>194833.43235291966</v>
      </c>
      <c r="F65" s="572">
        <f t="shared" si="5"/>
        <v>196972.9394933197</v>
      </c>
      <c r="G65" s="572">
        <f t="shared" si="5"/>
        <v>198806.80275651964</v>
      </c>
      <c r="H65" s="572">
        <f t="shared" si="5"/>
        <v>1703738.87794152</v>
      </c>
      <c r="I65" s="572">
        <f t="shared" si="5"/>
        <v>202933.73872731964</v>
      </c>
      <c r="J65" s="572">
        <f t="shared" si="5"/>
        <v>205073.2458677197</v>
      </c>
      <c r="K65" s="572">
        <f t="shared" si="5"/>
        <v>207212.75300811965</v>
      </c>
      <c r="L65" s="572">
        <f t="shared" si="5"/>
        <v>1703738.87794152</v>
      </c>
      <c r="M65" s="572">
        <f t="shared" si="5"/>
        <v>211491.76728891963</v>
      </c>
      <c r="N65" s="572">
        <f t="shared" si="5"/>
        <v>424970.4337513535</v>
      </c>
      <c r="O65" s="572">
        <f t="shared" si="5"/>
        <v>215770.78156971963</v>
      </c>
      <c r="P65" s="572">
        <f t="shared" si="5"/>
        <v>1703738.87794152</v>
      </c>
      <c r="Q65" s="572">
        <f t="shared" si="5"/>
        <v>220049.79585051961</v>
      </c>
      <c r="R65" s="572">
        <f t="shared" si="5"/>
        <v>222648.51243531966</v>
      </c>
      <c r="S65" s="572">
        <f t="shared" si="5"/>
        <v>224788.01957571972</v>
      </c>
      <c r="T65" s="572">
        <f t="shared" si="5"/>
        <v>1703738.87794152</v>
      </c>
      <c r="U65" s="572">
        <f t="shared" si="5"/>
        <v>229372.67773371967</v>
      </c>
      <c r="V65" s="572">
        <f t="shared" si="5"/>
        <v>231817.8287513197</v>
      </c>
      <c r="W65" s="572">
        <f t="shared" si="5"/>
        <v>234262.9797689197</v>
      </c>
      <c r="X65" s="573">
        <f t="shared" si="5"/>
        <v>1987125.47794152</v>
      </c>
      <c r="Y65" s="540"/>
    </row>
    <row r="66" spans="1:25" ht="15.75" thickBot="1">
      <c r="A66" s="576"/>
      <c r="B66" s="577"/>
      <c r="C66" s="577"/>
      <c r="D66" s="578"/>
      <c r="E66" s="578"/>
      <c r="F66" s="578"/>
      <c r="G66" s="578"/>
      <c r="H66" s="578"/>
      <c r="I66" s="578"/>
      <c r="J66" s="578"/>
      <c r="K66" s="578"/>
      <c r="L66" s="578"/>
      <c r="M66" s="578"/>
      <c r="N66" s="578"/>
      <c r="O66" s="578"/>
      <c r="P66" s="578"/>
      <c r="Q66" s="578"/>
      <c r="R66" s="578"/>
      <c r="S66" s="578"/>
      <c r="T66" s="578"/>
      <c r="U66" s="578"/>
      <c r="V66" s="578"/>
      <c r="W66" s="578"/>
      <c r="X66" s="579"/>
      <c r="Y66" s="540"/>
    </row>
    <row r="67" spans="1:25" ht="13.5" customHeight="1">
      <c r="A67" s="325"/>
      <c r="B67" s="326"/>
      <c r="C67" s="326"/>
      <c r="D67" s="597"/>
      <c r="E67" s="597"/>
      <c r="F67" s="597"/>
      <c r="G67" s="597"/>
      <c r="H67" s="597"/>
      <c r="I67" s="597"/>
      <c r="J67" s="597"/>
      <c r="K67" s="597"/>
      <c r="L67" s="597"/>
      <c r="M67" s="597"/>
      <c r="N67" s="597"/>
      <c r="O67" s="597"/>
      <c r="P67" s="597"/>
      <c r="Q67" s="597"/>
      <c r="R67" s="597"/>
      <c r="S67" s="597"/>
      <c r="T67" s="597"/>
      <c r="U67" s="597"/>
      <c r="V67" s="597"/>
      <c r="W67" s="597"/>
      <c r="X67" s="598"/>
      <c r="Y67" s="540"/>
    </row>
    <row r="68" spans="1:25" ht="15.75">
      <c r="A68" s="325"/>
      <c r="B68" s="599" t="s">
        <v>14</v>
      </c>
      <c r="C68" s="599"/>
      <c r="D68" s="597"/>
      <c r="E68" s="597"/>
      <c r="F68" s="597"/>
      <c r="G68" s="597"/>
      <c r="H68" s="597"/>
      <c r="I68" s="597"/>
      <c r="J68" s="597"/>
      <c r="K68" s="597"/>
      <c r="L68" s="597"/>
      <c r="M68" s="597"/>
      <c r="N68" s="597"/>
      <c r="O68" s="597"/>
      <c r="P68" s="597"/>
      <c r="Q68" s="597"/>
      <c r="R68" s="597"/>
      <c r="S68" s="597"/>
      <c r="T68" s="597"/>
      <c r="U68" s="597"/>
      <c r="V68" s="597"/>
      <c r="W68" s="597"/>
      <c r="X68" s="598"/>
      <c r="Y68" s="540"/>
    </row>
    <row r="69" spans="1:25" ht="15">
      <c r="A69" s="325"/>
      <c r="B69" s="326"/>
      <c r="C69" s="326"/>
      <c r="D69" s="597"/>
      <c r="E69" s="597"/>
      <c r="F69" s="597"/>
      <c r="G69" s="597"/>
      <c r="H69" s="597"/>
      <c r="I69" s="597"/>
      <c r="J69" s="597"/>
      <c r="K69" s="597"/>
      <c r="L69" s="597"/>
      <c r="M69" s="597"/>
      <c r="N69" s="597"/>
      <c r="O69" s="597"/>
      <c r="P69" s="597"/>
      <c r="Q69" s="597"/>
      <c r="R69" s="597"/>
      <c r="S69" s="597"/>
      <c r="T69" s="597"/>
      <c r="U69" s="597"/>
      <c r="V69" s="597"/>
      <c r="W69" s="597"/>
      <c r="X69" s="598"/>
      <c r="Y69" s="540"/>
    </row>
    <row r="70" spans="1:25" ht="15">
      <c r="A70" s="325"/>
      <c r="B70" s="600" t="s">
        <v>14</v>
      </c>
      <c r="C70" s="600"/>
      <c r="D70" s="601">
        <f>D7</f>
        <v>2011</v>
      </c>
      <c r="E70" s="601">
        <f>E7</f>
        <v>2012</v>
      </c>
      <c r="F70" s="601">
        <f>+E70+1</f>
        <v>2013</v>
      </c>
      <c r="G70" s="601">
        <f aca="true" t="shared" si="6" ref="G70:X70">+F70+1</f>
        <v>2014</v>
      </c>
      <c r="H70" s="601">
        <f t="shared" si="6"/>
        <v>2015</v>
      </c>
      <c r="I70" s="601">
        <f t="shared" si="6"/>
        <v>2016</v>
      </c>
      <c r="J70" s="601">
        <f t="shared" si="6"/>
        <v>2017</v>
      </c>
      <c r="K70" s="601">
        <f t="shared" si="6"/>
        <v>2018</v>
      </c>
      <c r="L70" s="601">
        <f t="shared" si="6"/>
        <v>2019</v>
      </c>
      <c r="M70" s="601">
        <f t="shared" si="6"/>
        <v>2020</v>
      </c>
      <c r="N70" s="601">
        <f t="shared" si="6"/>
        <v>2021</v>
      </c>
      <c r="O70" s="601">
        <f t="shared" si="6"/>
        <v>2022</v>
      </c>
      <c r="P70" s="601">
        <f t="shared" si="6"/>
        <v>2023</v>
      </c>
      <c r="Q70" s="601">
        <f t="shared" si="6"/>
        <v>2024</v>
      </c>
      <c r="R70" s="601">
        <f t="shared" si="6"/>
        <v>2025</v>
      </c>
      <c r="S70" s="601">
        <f t="shared" si="6"/>
        <v>2026</v>
      </c>
      <c r="T70" s="601">
        <f t="shared" si="6"/>
        <v>2027</v>
      </c>
      <c r="U70" s="601">
        <f t="shared" si="6"/>
        <v>2028</v>
      </c>
      <c r="V70" s="601">
        <f t="shared" si="6"/>
        <v>2029</v>
      </c>
      <c r="W70" s="601">
        <f t="shared" si="6"/>
        <v>2030</v>
      </c>
      <c r="X70" s="602">
        <f t="shared" si="6"/>
        <v>2031</v>
      </c>
      <c r="Y70" s="540"/>
    </row>
    <row r="71" spans="1:25" ht="15">
      <c r="A71" s="325"/>
      <c r="B71" s="600" t="s">
        <v>27</v>
      </c>
      <c r="C71" s="600"/>
      <c r="D71" s="601">
        <v>0</v>
      </c>
      <c r="E71" s="601">
        <v>1</v>
      </c>
      <c r="F71" s="601">
        <v>2</v>
      </c>
      <c r="G71" s="601">
        <v>3</v>
      </c>
      <c r="H71" s="601">
        <v>4</v>
      </c>
      <c r="I71" s="601">
        <v>5</v>
      </c>
      <c r="J71" s="601">
        <v>6</v>
      </c>
      <c r="K71" s="601">
        <v>7</v>
      </c>
      <c r="L71" s="601">
        <v>8</v>
      </c>
      <c r="M71" s="601">
        <v>9</v>
      </c>
      <c r="N71" s="601">
        <v>10</v>
      </c>
      <c r="O71" s="601">
        <v>11</v>
      </c>
      <c r="P71" s="601">
        <v>12</v>
      </c>
      <c r="Q71" s="601">
        <v>13</v>
      </c>
      <c r="R71" s="601">
        <v>14</v>
      </c>
      <c r="S71" s="601">
        <v>15</v>
      </c>
      <c r="T71" s="601">
        <v>16</v>
      </c>
      <c r="U71" s="601">
        <v>17</v>
      </c>
      <c r="V71" s="601">
        <v>18</v>
      </c>
      <c r="W71" s="601">
        <v>19</v>
      </c>
      <c r="X71" s="602">
        <v>20</v>
      </c>
      <c r="Y71" s="540"/>
    </row>
    <row r="72" spans="1:25" ht="15">
      <c r="A72" s="325"/>
      <c r="B72" s="603"/>
      <c r="C72" s="603"/>
      <c r="D72" s="544"/>
      <c r="E72" s="544"/>
      <c r="F72" s="544"/>
      <c r="G72" s="544"/>
      <c r="H72" s="544"/>
      <c r="I72" s="544"/>
      <c r="J72" s="544"/>
      <c r="K72" s="544"/>
      <c r="L72" s="544"/>
      <c r="M72" s="544"/>
      <c r="N72" s="544"/>
      <c r="O72" s="544"/>
      <c r="P72" s="544"/>
      <c r="Q72" s="544"/>
      <c r="R72" s="544"/>
      <c r="S72" s="544"/>
      <c r="T72" s="544"/>
      <c r="U72" s="544"/>
      <c r="V72" s="544"/>
      <c r="W72" s="544"/>
      <c r="X72" s="545"/>
      <c r="Y72" s="540"/>
    </row>
    <row r="73" spans="1:25" ht="15">
      <c r="A73" s="325"/>
      <c r="B73" s="457" t="s">
        <v>56</v>
      </c>
      <c r="C73" s="457"/>
      <c r="D73" s="551"/>
      <c r="E73" s="551">
        <f>'F6-SF'!D17/1.18</f>
        <v>566991.701064</v>
      </c>
      <c r="F73" s="551">
        <f>'F6-SF'!E17/1.18</f>
        <v>574123.3915320002</v>
      </c>
      <c r="G73" s="551">
        <f>'F6-SF'!F17/1.18</f>
        <v>580236.269076</v>
      </c>
      <c r="H73" s="551">
        <f>'F6-SF'!G17/1.18</f>
        <v>587367.959544</v>
      </c>
      <c r="I73" s="551">
        <f>'F6-SF'!H17/1.18</f>
        <v>593992.722312</v>
      </c>
      <c r="J73" s="551">
        <f>'F6-SF'!I17/1.18</f>
        <v>601124.4127800001</v>
      </c>
      <c r="K73" s="551">
        <f>'F6-SF'!J17/1.18</f>
        <v>608256.103248</v>
      </c>
      <c r="L73" s="551">
        <f>'F6-SF'!K17/1.18</f>
        <v>615387.7937160002</v>
      </c>
      <c r="M73" s="551">
        <f>'F6-SF'!L17/1.18</f>
        <v>622519.484184</v>
      </c>
      <c r="N73" s="551">
        <f>'F6-SF'!M17/1.18</f>
        <v>629651.1746520001</v>
      </c>
      <c r="O73" s="551">
        <f>'F6-SF'!N17/1.18</f>
        <v>636782.86512</v>
      </c>
      <c r="P73" s="551">
        <f>'F6-SF'!O17/1.18</f>
        <v>643914.5555880001</v>
      </c>
      <c r="Q73" s="551">
        <f>'F6-SF'!P17/1.18</f>
        <v>651046.2460559999</v>
      </c>
      <c r="R73" s="551">
        <f>'F6-SF'!Q17/1.18</f>
        <v>659708.6346720001</v>
      </c>
      <c r="S73" s="551">
        <f>'F6-SF'!R17/1.18</f>
        <v>666840.3251400003</v>
      </c>
      <c r="T73" s="551">
        <f>'F6-SF'!S17/1.18</f>
        <v>674990.8285320001</v>
      </c>
      <c r="U73" s="551">
        <f>'F6-SF'!T17/1.18</f>
        <v>682122.5190000001</v>
      </c>
      <c r="V73" s="551">
        <f>'F6-SF'!U17/1.18</f>
        <v>690273.0223920002</v>
      </c>
      <c r="W73" s="551">
        <f>'F6-SF'!V17/1.18</f>
        <v>698423.5257840002</v>
      </c>
      <c r="X73" s="552">
        <f>'F6-SF'!W17/1.18</f>
        <v>706574.0291760002</v>
      </c>
      <c r="Y73" s="540"/>
    </row>
    <row r="74" spans="1:25" ht="15">
      <c r="A74" s="325"/>
      <c r="B74" s="457" t="s">
        <v>57</v>
      </c>
      <c r="C74" s="457"/>
      <c r="D74" s="551"/>
      <c r="E74" s="551">
        <f>-SUM(E53:E57)/1.18</f>
        <v>-98960.94740806779</v>
      </c>
      <c r="F74" s="551">
        <f aca="true" t="shared" si="7" ref="F74:X74">-SUM(F53:F57)/1.18</f>
        <v>-98960.94740806779</v>
      </c>
      <c r="G74" s="551">
        <f t="shared" si="7"/>
        <v>-98960.94740806779</v>
      </c>
      <c r="H74" s="551">
        <f t="shared" si="7"/>
        <v>-1443846.5067301018</v>
      </c>
      <c r="I74" s="551">
        <f t="shared" si="7"/>
        <v>-98960.94740806779</v>
      </c>
      <c r="J74" s="551">
        <f t="shared" si="7"/>
        <v>-98960.94740806779</v>
      </c>
      <c r="K74" s="551">
        <f t="shared" si="7"/>
        <v>-98960.94740806779</v>
      </c>
      <c r="L74" s="551">
        <f t="shared" si="7"/>
        <v>-1443846.5067301018</v>
      </c>
      <c r="M74" s="551">
        <f t="shared" si="7"/>
        <v>-98960.94740806779</v>
      </c>
      <c r="N74" s="551">
        <f t="shared" si="7"/>
        <v>-339119.0830012881</v>
      </c>
      <c r="O74" s="551">
        <f t="shared" si="7"/>
        <v>-98960.94740806779</v>
      </c>
      <c r="P74" s="551">
        <f t="shared" si="7"/>
        <v>-1443846.5067301018</v>
      </c>
      <c r="Q74" s="551">
        <f t="shared" si="7"/>
        <v>-98960.94740806779</v>
      </c>
      <c r="R74" s="551">
        <f t="shared" si="7"/>
        <v>-98960.94740806779</v>
      </c>
      <c r="S74" s="551">
        <f t="shared" si="7"/>
        <v>-98960.94740806779</v>
      </c>
      <c r="T74" s="551">
        <f t="shared" si="7"/>
        <v>-1443846.5067301018</v>
      </c>
      <c r="U74" s="551">
        <f t="shared" si="7"/>
        <v>-98960.94740806779</v>
      </c>
      <c r="V74" s="551">
        <f t="shared" si="7"/>
        <v>-98960.94740806779</v>
      </c>
      <c r="W74" s="551">
        <f t="shared" si="7"/>
        <v>-98960.94740806779</v>
      </c>
      <c r="X74" s="552">
        <f t="shared" si="7"/>
        <v>-1684004.6423233221</v>
      </c>
      <c r="Y74" s="540"/>
    </row>
    <row r="75" spans="1:25" ht="15">
      <c r="A75" s="325"/>
      <c r="B75" s="457" t="s">
        <v>61</v>
      </c>
      <c r="C75" s="457"/>
      <c r="D75" s="551"/>
      <c r="E75" s="551">
        <f>-($D$14-$D$18-$D$19)/20-$D$18/Entrada!$J$92-$D$19/Entrada!$J$91</f>
        <v>-207832.37228460002</v>
      </c>
      <c r="F75" s="551">
        <f>-($D$14-$D$18-$D$19)/20-$D$18/Entrada!$J$92-$D$19/Entrada!$J$91</f>
        <v>-207832.37228460002</v>
      </c>
      <c r="G75" s="551">
        <f>-($D$14-$D$18-$D$19)/20-$D$18/Entrada!$J$92-$D$19/Entrada!$J$91</f>
        <v>-207832.37228460002</v>
      </c>
      <c r="H75" s="551">
        <f>-($D$14-$D$18-$D$19)/20-$D$18/Entrada!$J$92-$D$19/Entrada!$J$91</f>
        <v>-207832.37228460002</v>
      </c>
      <c r="I75" s="551">
        <f>-($D$14-$D$18-$D$19)/20-$D$18/Entrada!$J$92-$D$19/Entrada!$J$91</f>
        <v>-207832.37228460002</v>
      </c>
      <c r="J75" s="551">
        <f>-($D$14-$D$18-$D$19)/20-$D$18/Entrada!$J$92-$D$19/Entrada!$J$91</f>
        <v>-207832.37228460002</v>
      </c>
      <c r="K75" s="551">
        <f>-($D$14-$D$18-$D$19)/20-$D$18/Entrada!$J$92-$D$19/Entrada!$J$91</f>
        <v>-207832.37228460002</v>
      </c>
      <c r="L75" s="551">
        <f>-($D$14-$D$18-$D$19)/20-$D$18/Entrada!$J$92-$D$19/Entrada!$J$91</f>
        <v>-207832.37228460002</v>
      </c>
      <c r="M75" s="551">
        <f>-($D$14-$D$18-$D$19)/20-$D$18/Entrada!$J$92-$D$19/Entrada!$J$91</f>
        <v>-207832.37228460002</v>
      </c>
      <c r="N75" s="551">
        <f>-($D$14-$D$18-$D$19)/20-$D$18/Entrada!$J$92-$D$19/Entrada!$J$91</f>
        <v>-207832.37228460002</v>
      </c>
      <c r="O75" s="551">
        <f>-($D$14-$D$18-$D$19)/20-$D$18/Entrada!$J$92-$D$19/Entrada!$J$91</f>
        <v>-207832.37228460002</v>
      </c>
      <c r="P75" s="551">
        <f>-($D$14-$D$18-$D$19)/20-$D$18/Entrada!$J$92-$D$19/Entrada!$J$91</f>
        <v>-207832.37228460002</v>
      </c>
      <c r="Q75" s="551">
        <f>-($D$14-$D$18-$D$19)/20-$D$18/Entrada!$J$92-$D$19/Entrada!$J$91</f>
        <v>-207832.37228460002</v>
      </c>
      <c r="R75" s="551">
        <f>-($D$14-$D$18-$D$19)/20-$D$18/Entrada!$J$92-$D$19/Entrada!$J$91</f>
        <v>-207832.37228460002</v>
      </c>
      <c r="S75" s="551">
        <f>-($D$14-$D$18-$D$19)/20-$D$18/Entrada!$J$92-$D$19/Entrada!$J$91</f>
        <v>-207832.37228460002</v>
      </c>
      <c r="T75" s="551">
        <f>-($D$14-$D$18-$D$19)/20-$D$18/Entrada!$J$92-$D$19/Entrada!$J$91</f>
        <v>-207832.37228460002</v>
      </c>
      <c r="U75" s="551">
        <f>-($D$14-$D$18-$D$19)/20-$D$18/Entrada!$J$92-$D$19/Entrada!$J$91</f>
        <v>-207832.37228460002</v>
      </c>
      <c r="V75" s="551">
        <f>-($D$14-$D$18-$D$19)/20-$D$18/Entrada!$J$92-$D$19/Entrada!$J$91</f>
        <v>-207832.37228460002</v>
      </c>
      <c r="W75" s="551">
        <f>-($D$14-$D$18-$D$19)/20-$D$18/Entrada!$J$92-$D$19/Entrada!$J$91</f>
        <v>-207832.37228460002</v>
      </c>
      <c r="X75" s="552">
        <f>-($D$14-$D$18-$D$19)/20-$D$18/Entrada!$J$92-$D$19/Entrada!$J$91</f>
        <v>-207832.37228460002</v>
      </c>
      <c r="Y75" s="541"/>
    </row>
    <row r="76" spans="1:25" ht="15">
      <c r="A76" s="325"/>
      <c r="B76" s="457" t="s">
        <v>58</v>
      </c>
      <c r="C76" s="457"/>
      <c r="D76" s="551"/>
      <c r="E76" s="551">
        <f>SUM(E73:E75)</f>
        <v>260198.38137133225</v>
      </c>
      <c r="F76" s="551">
        <f aca="true" t="shared" si="8" ref="F76:X76">SUM(F73:F75)</f>
        <v>267330.07183933235</v>
      </c>
      <c r="G76" s="551">
        <f t="shared" si="8"/>
        <v>273442.94938333216</v>
      </c>
      <c r="H76" s="551">
        <f t="shared" si="8"/>
        <v>-1064310.9194707018</v>
      </c>
      <c r="I76" s="551">
        <f t="shared" si="8"/>
        <v>287199.4026193322</v>
      </c>
      <c r="J76" s="551">
        <f t="shared" si="8"/>
        <v>294331.0930873323</v>
      </c>
      <c r="K76" s="551">
        <f t="shared" si="8"/>
        <v>301462.7835553322</v>
      </c>
      <c r="L76" s="551">
        <f t="shared" si="8"/>
        <v>-1036291.0852987017</v>
      </c>
      <c r="M76" s="551">
        <f t="shared" si="8"/>
        <v>315726.16449133214</v>
      </c>
      <c r="N76" s="551">
        <f t="shared" si="8"/>
        <v>82699.71936611194</v>
      </c>
      <c r="O76" s="551">
        <f t="shared" si="8"/>
        <v>329989.54542733217</v>
      </c>
      <c r="P76" s="551">
        <f t="shared" si="8"/>
        <v>-1007764.3234267017</v>
      </c>
      <c r="Q76" s="551">
        <f t="shared" si="8"/>
        <v>344252.9263633321</v>
      </c>
      <c r="R76" s="551">
        <f t="shared" si="8"/>
        <v>352915.31497933227</v>
      </c>
      <c r="S76" s="551">
        <f t="shared" si="8"/>
        <v>360047.0054473325</v>
      </c>
      <c r="T76" s="551">
        <f t="shared" si="8"/>
        <v>-976688.0504827017</v>
      </c>
      <c r="U76" s="551">
        <f t="shared" si="8"/>
        <v>375329.1993073323</v>
      </c>
      <c r="V76" s="551">
        <f t="shared" si="8"/>
        <v>383479.7026993324</v>
      </c>
      <c r="W76" s="551">
        <f t="shared" si="8"/>
        <v>391630.20609133237</v>
      </c>
      <c r="X76" s="552">
        <f t="shared" si="8"/>
        <v>-1185262.985431922</v>
      </c>
      <c r="Y76" s="540"/>
    </row>
    <row r="77" spans="1:25" ht="15">
      <c r="A77" s="325"/>
      <c r="B77" s="604" t="s">
        <v>59</v>
      </c>
      <c r="C77" s="604"/>
      <c r="D77" s="605"/>
      <c r="E77" s="551">
        <f>IF(E76&gt;=0,E76*0.3,0)</f>
        <v>78059.51441139966</v>
      </c>
      <c r="F77" s="551">
        <f aca="true" t="shared" si="9" ref="F77:X77">IF(F76&gt;=0,F76*0.3,0)</f>
        <v>80199.0215517997</v>
      </c>
      <c r="G77" s="551">
        <f t="shared" si="9"/>
        <v>82032.88481499965</v>
      </c>
      <c r="H77" s="551">
        <f t="shared" si="9"/>
        <v>0</v>
      </c>
      <c r="I77" s="551">
        <f t="shared" si="9"/>
        <v>86159.82078579966</v>
      </c>
      <c r="J77" s="551">
        <f t="shared" si="9"/>
        <v>88299.3279261997</v>
      </c>
      <c r="K77" s="551">
        <f t="shared" si="9"/>
        <v>90438.83506659967</v>
      </c>
      <c r="L77" s="551">
        <f t="shared" si="9"/>
        <v>0</v>
      </c>
      <c r="M77" s="551">
        <f t="shared" si="9"/>
        <v>94717.84934739964</v>
      </c>
      <c r="N77" s="551">
        <f t="shared" si="9"/>
        <v>24809.91580983358</v>
      </c>
      <c r="O77" s="551">
        <f t="shared" si="9"/>
        <v>98996.86362819964</v>
      </c>
      <c r="P77" s="551">
        <f t="shared" si="9"/>
        <v>0</v>
      </c>
      <c r="Q77" s="551">
        <f t="shared" si="9"/>
        <v>103275.87790899962</v>
      </c>
      <c r="R77" s="551">
        <f t="shared" si="9"/>
        <v>105874.59449379968</v>
      </c>
      <c r="S77" s="551">
        <f t="shared" si="9"/>
        <v>108014.10163419975</v>
      </c>
      <c r="T77" s="551">
        <f t="shared" si="9"/>
        <v>0</v>
      </c>
      <c r="U77" s="551">
        <f t="shared" si="9"/>
        <v>112598.75979219968</v>
      </c>
      <c r="V77" s="551">
        <f t="shared" si="9"/>
        <v>115043.91080979971</v>
      </c>
      <c r="W77" s="551">
        <f t="shared" si="9"/>
        <v>117489.06182739971</v>
      </c>
      <c r="X77" s="552">
        <f t="shared" si="9"/>
        <v>0</v>
      </c>
      <c r="Y77" s="540"/>
    </row>
    <row r="78" spans="1:25" ht="15">
      <c r="A78" s="325"/>
      <c r="B78" s="457" t="s">
        <v>60</v>
      </c>
      <c r="C78" s="457"/>
      <c r="D78" s="605"/>
      <c r="E78" s="551">
        <f>E76-E77</f>
        <v>182138.86695993258</v>
      </c>
      <c r="F78" s="551">
        <f aca="true" t="shared" si="10" ref="F78:X78">F76-F77</f>
        <v>187131.05028753265</v>
      </c>
      <c r="G78" s="551">
        <f t="shared" si="10"/>
        <v>191410.0645683325</v>
      </c>
      <c r="H78" s="551">
        <f t="shared" si="10"/>
        <v>-1064310.9194707018</v>
      </c>
      <c r="I78" s="551">
        <f t="shared" si="10"/>
        <v>201039.58183353255</v>
      </c>
      <c r="J78" s="551">
        <f t="shared" si="10"/>
        <v>206031.76516113261</v>
      </c>
      <c r="K78" s="551">
        <f t="shared" si="10"/>
        <v>211023.94848873257</v>
      </c>
      <c r="L78" s="551">
        <f t="shared" si="10"/>
        <v>-1036291.0852987017</v>
      </c>
      <c r="M78" s="551">
        <f t="shared" si="10"/>
        <v>221008.3151439325</v>
      </c>
      <c r="N78" s="551">
        <f t="shared" si="10"/>
        <v>57889.80355627836</v>
      </c>
      <c r="O78" s="551">
        <f t="shared" si="10"/>
        <v>230992.68179913252</v>
      </c>
      <c r="P78" s="551">
        <f t="shared" si="10"/>
        <v>-1007764.3234267017</v>
      </c>
      <c r="Q78" s="551">
        <f t="shared" si="10"/>
        <v>240977.04845433246</v>
      </c>
      <c r="R78" s="551">
        <f t="shared" si="10"/>
        <v>247040.7204855326</v>
      </c>
      <c r="S78" s="551">
        <f t="shared" si="10"/>
        <v>252032.90381313278</v>
      </c>
      <c r="T78" s="551">
        <f t="shared" si="10"/>
        <v>-976688.0504827017</v>
      </c>
      <c r="U78" s="551">
        <f t="shared" si="10"/>
        <v>262730.4395151326</v>
      </c>
      <c r="V78" s="551">
        <f t="shared" si="10"/>
        <v>268435.7918895327</v>
      </c>
      <c r="W78" s="551">
        <f t="shared" si="10"/>
        <v>274141.14426393266</v>
      </c>
      <c r="X78" s="552">
        <f t="shared" si="10"/>
        <v>-1185262.985431922</v>
      </c>
      <c r="Y78" s="540"/>
    </row>
    <row r="79" spans="1:25" ht="15">
      <c r="A79" s="325"/>
      <c r="B79" s="459"/>
      <c r="C79" s="459"/>
      <c r="D79" s="606"/>
      <c r="E79" s="606"/>
      <c r="F79" s="606"/>
      <c r="G79" s="606"/>
      <c r="H79" s="606"/>
      <c r="I79" s="606"/>
      <c r="J79" s="606"/>
      <c r="K79" s="606"/>
      <c r="L79" s="606"/>
      <c r="M79" s="606"/>
      <c r="N79" s="606"/>
      <c r="O79" s="606"/>
      <c r="P79" s="606"/>
      <c r="Q79" s="606"/>
      <c r="R79" s="606"/>
      <c r="S79" s="606"/>
      <c r="T79" s="606"/>
      <c r="U79" s="606"/>
      <c r="V79" s="606"/>
      <c r="W79" s="606"/>
      <c r="X79" s="607"/>
      <c r="Y79" s="540"/>
    </row>
    <row r="80" spans="1:25" ht="15.75" thickBot="1">
      <c r="A80" s="576"/>
      <c r="B80" s="577"/>
      <c r="C80" s="577"/>
      <c r="D80" s="578"/>
      <c r="E80" s="578"/>
      <c r="F80" s="578"/>
      <c r="G80" s="578"/>
      <c r="H80" s="578"/>
      <c r="I80" s="578"/>
      <c r="J80" s="578"/>
      <c r="K80" s="578"/>
      <c r="L80" s="578"/>
      <c r="M80" s="578"/>
      <c r="N80" s="578"/>
      <c r="O80" s="578"/>
      <c r="P80" s="578"/>
      <c r="Q80" s="578"/>
      <c r="R80" s="578"/>
      <c r="S80" s="578"/>
      <c r="T80" s="578"/>
      <c r="U80" s="578"/>
      <c r="V80" s="578"/>
      <c r="W80" s="578"/>
      <c r="X80" s="579"/>
      <c r="Y80" s="540"/>
    </row>
  </sheetData>
  <sheetProtection password="FFA0" sheet="1"/>
  <mergeCells count="6">
    <mergeCell ref="A2:X2"/>
    <mergeCell ref="A3:X3"/>
    <mergeCell ref="A4:X4"/>
    <mergeCell ref="A5:B7"/>
    <mergeCell ref="D5:X5"/>
    <mergeCell ref="C6:C7"/>
  </mergeCells>
  <printOptions horizontalCentered="1" verticalCentered="1"/>
  <pageMargins left="0.1968503937007874" right="0.1968503937007874" top="0.4330708661417323" bottom="0.3937007874015748" header="0.31496062992125984" footer="0.31496062992125984"/>
  <pageSetup fitToHeight="1" fitToWidth="1" horizontalDpi="300" verticalDpi="300" orientation="landscape" paperSize="9" scale="60" r:id="rId2"/>
  <colBreaks count="2" manualBreakCount="2">
    <brk id="80" max="37" man="1"/>
    <brk id="162" max="37" man="1"/>
  </colBreaks>
  <drawing r:id="rId1"/>
</worksheet>
</file>

<file path=xl/worksheets/sheet12.xml><?xml version="1.0" encoding="utf-8"?>
<worksheet xmlns="http://schemas.openxmlformats.org/spreadsheetml/2006/main" xmlns:r="http://schemas.openxmlformats.org/officeDocument/2006/relationships">
  <sheetPr codeName="Hoja24">
    <pageSetUpPr fitToPage="1"/>
  </sheetPr>
  <dimension ref="A1:Y70"/>
  <sheetViews>
    <sheetView showGridLines="0" showZeros="0" zoomScale="89" zoomScaleNormal="89" zoomScaleSheetLayoutView="84" zoomScalePageLayoutView="0" workbookViewId="0" topLeftCell="A1">
      <pane ySplit="1" topLeftCell="A2" activePane="bottomLeft" state="frozen"/>
      <selection pane="topLeft" activeCell="K132" sqref="K132"/>
      <selection pane="bottomLeft" activeCell="A2" sqref="A2:X2"/>
    </sheetView>
  </sheetViews>
  <sheetFormatPr defaultColWidth="11.421875" defaultRowHeight="15"/>
  <cols>
    <col min="1" max="1" width="5.7109375" style="234" customWidth="1"/>
    <col min="2" max="2" width="42.00390625" style="234" customWidth="1"/>
    <col min="3" max="3" width="14.140625" style="234" customWidth="1"/>
    <col min="4" max="4" width="12.00390625" style="234" customWidth="1"/>
    <col min="5" max="15" width="8.7109375" style="234" customWidth="1"/>
    <col min="16" max="23" width="9.00390625" style="234" bestFit="1" customWidth="1"/>
    <col min="24" max="24" width="10.8515625" style="234" customWidth="1"/>
    <col min="25" max="25" width="11.421875" style="234" customWidth="1"/>
    <col min="26" max="26" width="13.421875" style="234" customWidth="1"/>
    <col min="27" max="27" width="15.7109375" style="234" customWidth="1"/>
    <col min="28" max="16384" width="11.421875" style="234" customWidth="1"/>
  </cols>
  <sheetData>
    <row r="1" spans="1:25" ht="26.25" customHeight="1" thickBot="1">
      <c r="A1" s="540"/>
      <c r="B1" s="540"/>
      <c r="C1" s="540"/>
      <c r="D1" s="541"/>
      <c r="E1" s="541"/>
      <c r="F1" s="541"/>
      <c r="G1" s="541"/>
      <c r="H1" s="541"/>
      <c r="I1" s="541"/>
      <c r="J1" s="541"/>
      <c r="K1" s="541"/>
      <c r="L1" s="541"/>
      <c r="M1" s="541"/>
      <c r="N1" s="541"/>
      <c r="O1" s="541"/>
      <c r="P1" s="541"/>
      <c r="Q1" s="541"/>
      <c r="R1" s="541"/>
      <c r="S1" s="541"/>
      <c r="T1" s="541"/>
      <c r="U1" s="541"/>
      <c r="V1" s="541"/>
      <c r="W1" s="541"/>
      <c r="X1" s="541"/>
      <c r="Y1" s="540"/>
    </row>
    <row r="2" spans="1:25" ht="15.75">
      <c r="A2" s="876" t="s">
        <v>129</v>
      </c>
      <c r="B2" s="877"/>
      <c r="C2" s="877"/>
      <c r="D2" s="877"/>
      <c r="E2" s="877"/>
      <c r="F2" s="877"/>
      <c r="G2" s="877"/>
      <c r="H2" s="877"/>
      <c r="I2" s="877"/>
      <c r="J2" s="877"/>
      <c r="K2" s="877"/>
      <c r="L2" s="877"/>
      <c r="M2" s="877"/>
      <c r="N2" s="877"/>
      <c r="O2" s="877"/>
      <c r="P2" s="877"/>
      <c r="Q2" s="877"/>
      <c r="R2" s="877"/>
      <c r="S2" s="877"/>
      <c r="T2" s="877"/>
      <c r="U2" s="877"/>
      <c r="V2" s="877"/>
      <c r="W2" s="877"/>
      <c r="X2" s="878"/>
      <c r="Y2" s="540"/>
    </row>
    <row r="3" spans="1:25" ht="15.75">
      <c r="A3" s="879" t="s">
        <v>343</v>
      </c>
      <c r="B3" s="880"/>
      <c r="C3" s="880"/>
      <c r="D3" s="880"/>
      <c r="E3" s="880"/>
      <c r="F3" s="880"/>
      <c r="G3" s="880"/>
      <c r="H3" s="880"/>
      <c r="I3" s="880"/>
      <c r="J3" s="880"/>
      <c r="K3" s="880"/>
      <c r="L3" s="880"/>
      <c r="M3" s="880"/>
      <c r="N3" s="880"/>
      <c r="O3" s="880"/>
      <c r="P3" s="880"/>
      <c r="Q3" s="880"/>
      <c r="R3" s="880"/>
      <c r="S3" s="880"/>
      <c r="T3" s="880"/>
      <c r="U3" s="880"/>
      <c r="V3" s="880"/>
      <c r="W3" s="880"/>
      <c r="X3" s="881"/>
      <c r="Y3" s="540"/>
    </row>
    <row r="4" spans="1:25" ht="15.75">
      <c r="A4" s="882" t="s">
        <v>145</v>
      </c>
      <c r="B4" s="883"/>
      <c r="C4" s="883"/>
      <c r="D4" s="883"/>
      <c r="E4" s="883"/>
      <c r="F4" s="883"/>
      <c r="G4" s="883"/>
      <c r="H4" s="883"/>
      <c r="I4" s="883"/>
      <c r="J4" s="883"/>
      <c r="K4" s="883"/>
      <c r="L4" s="883"/>
      <c r="M4" s="883"/>
      <c r="N4" s="883"/>
      <c r="O4" s="883"/>
      <c r="P4" s="883"/>
      <c r="Q4" s="883"/>
      <c r="R4" s="883"/>
      <c r="S4" s="883"/>
      <c r="T4" s="883"/>
      <c r="U4" s="883"/>
      <c r="V4" s="883"/>
      <c r="W4" s="883"/>
      <c r="X4" s="884"/>
      <c r="Y4" s="540"/>
    </row>
    <row r="5" spans="1:25" ht="15" customHeight="1">
      <c r="A5" s="867" t="s">
        <v>4</v>
      </c>
      <c r="B5" s="868"/>
      <c r="C5" s="887" t="s">
        <v>146</v>
      </c>
      <c r="D5" s="873" t="s">
        <v>92</v>
      </c>
      <c r="E5" s="874"/>
      <c r="F5" s="874"/>
      <c r="G5" s="874"/>
      <c r="H5" s="874"/>
      <c r="I5" s="874"/>
      <c r="J5" s="874"/>
      <c r="K5" s="874"/>
      <c r="L5" s="874"/>
      <c r="M5" s="874"/>
      <c r="N5" s="874"/>
      <c r="O5" s="874"/>
      <c r="P5" s="874"/>
      <c r="Q5" s="874"/>
      <c r="R5" s="874"/>
      <c r="S5" s="874"/>
      <c r="T5" s="874"/>
      <c r="U5" s="874"/>
      <c r="V5" s="874"/>
      <c r="W5" s="874"/>
      <c r="X5" s="875"/>
      <c r="Y5" s="540"/>
    </row>
    <row r="6" spans="1:25" ht="14.25" customHeight="1">
      <c r="A6" s="869"/>
      <c r="B6" s="870"/>
      <c r="C6" s="885"/>
      <c r="D6" s="8">
        <v>0</v>
      </c>
      <c r="E6" s="8">
        <v>1</v>
      </c>
      <c r="F6" s="8">
        <v>2</v>
      </c>
      <c r="G6" s="8">
        <v>3</v>
      </c>
      <c r="H6" s="8">
        <v>4</v>
      </c>
      <c r="I6" s="8">
        <v>5</v>
      </c>
      <c r="J6" s="8">
        <v>6</v>
      </c>
      <c r="K6" s="8">
        <v>7</v>
      </c>
      <c r="L6" s="8">
        <v>8</v>
      </c>
      <c r="M6" s="8">
        <v>9</v>
      </c>
      <c r="N6" s="8">
        <v>10</v>
      </c>
      <c r="O6" s="8">
        <v>11</v>
      </c>
      <c r="P6" s="8">
        <v>12</v>
      </c>
      <c r="Q6" s="8">
        <v>13</v>
      </c>
      <c r="R6" s="8">
        <v>14</v>
      </c>
      <c r="S6" s="8">
        <v>15</v>
      </c>
      <c r="T6" s="8">
        <v>16</v>
      </c>
      <c r="U6" s="8">
        <v>17</v>
      </c>
      <c r="V6" s="8">
        <v>18</v>
      </c>
      <c r="W6" s="8">
        <v>19</v>
      </c>
      <c r="X6" s="114">
        <v>20</v>
      </c>
      <c r="Y6" s="540"/>
    </row>
    <row r="7" spans="1:25" ht="18.75" customHeight="1">
      <c r="A7" s="871"/>
      <c r="B7" s="872"/>
      <c r="C7" s="886"/>
      <c r="D7" s="8">
        <f>'F2'!C8</f>
        <v>2011</v>
      </c>
      <c r="E7" s="8">
        <f>+D7+1</f>
        <v>2012</v>
      </c>
      <c r="F7" s="8">
        <f aca="true" t="shared" si="0" ref="F7:X7">+E7+1</f>
        <v>2013</v>
      </c>
      <c r="G7" s="8">
        <f t="shared" si="0"/>
        <v>2014</v>
      </c>
      <c r="H7" s="8">
        <f t="shared" si="0"/>
        <v>2015</v>
      </c>
      <c r="I7" s="8">
        <f t="shared" si="0"/>
        <v>2016</v>
      </c>
      <c r="J7" s="8">
        <f t="shared" si="0"/>
        <v>2017</v>
      </c>
      <c r="K7" s="8">
        <f t="shared" si="0"/>
        <v>2018</v>
      </c>
      <c r="L7" s="8">
        <f t="shared" si="0"/>
        <v>2019</v>
      </c>
      <c r="M7" s="8">
        <f t="shared" si="0"/>
        <v>2020</v>
      </c>
      <c r="N7" s="8">
        <f t="shared" si="0"/>
        <v>2021</v>
      </c>
      <c r="O7" s="8">
        <f t="shared" si="0"/>
        <v>2022</v>
      </c>
      <c r="P7" s="8">
        <f t="shared" si="0"/>
        <v>2023</v>
      </c>
      <c r="Q7" s="8">
        <f t="shared" si="0"/>
        <v>2024</v>
      </c>
      <c r="R7" s="8">
        <f t="shared" si="0"/>
        <v>2025</v>
      </c>
      <c r="S7" s="8">
        <f t="shared" si="0"/>
        <v>2026</v>
      </c>
      <c r="T7" s="8">
        <f t="shared" si="0"/>
        <v>2027</v>
      </c>
      <c r="U7" s="8">
        <f t="shared" si="0"/>
        <v>2028</v>
      </c>
      <c r="V7" s="8">
        <f t="shared" si="0"/>
        <v>2029</v>
      </c>
      <c r="W7" s="8">
        <f t="shared" si="0"/>
        <v>2030</v>
      </c>
      <c r="X7" s="114">
        <f t="shared" si="0"/>
        <v>2031</v>
      </c>
      <c r="Y7" s="540"/>
    </row>
    <row r="8" spans="1:25" ht="15">
      <c r="A8" s="542" t="s">
        <v>0</v>
      </c>
      <c r="B8" s="543" t="s">
        <v>5</v>
      </c>
      <c r="C8" s="543"/>
      <c r="D8" s="544"/>
      <c r="E8" s="544"/>
      <c r="F8" s="544"/>
      <c r="G8" s="544"/>
      <c r="H8" s="544"/>
      <c r="I8" s="544"/>
      <c r="J8" s="544"/>
      <c r="K8" s="544"/>
      <c r="L8" s="544"/>
      <c r="M8" s="544"/>
      <c r="N8" s="544"/>
      <c r="O8" s="544"/>
      <c r="P8" s="544"/>
      <c r="Q8" s="544"/>
      <c r="R8" s="544"/>
      <c r="S8" s="544"/>
      <c r="T8" s="544"/>
      <c r="U8" s="544"/>
      <c r="V8" s="544"/>
      <c r="W8" s="544"/>
      <c r="X8" s="545"/>
      <c r="Y8" s="540"/>
    </row>
    <row r="9" spans="1:25" ht="15">
      <c r="A9" s="546">
        <v>1</v>
      </c>
      <c r="B9" s="547" t="s">
        <v>25</v>
      </c>
      <c r="C9" s="547"/>
      <c r="D9" s="232">
        <f>SUM(D10:D11)</f>
        <v>232776.60033284998</v>
      </c>
      <c r="E9" s="232"/>
      <c r="F9" s="232"/>
      <c r="G9" s="232"/>
      <c r="H9" s="232"/>
      <c r="I9" s="232"/>
      <c r="J9" s="232"/>
      <c r="K9" s="232"/>
      <c r="L9" s="232"/>
      <c r="M9" s="232"/>
      <c r="N9" s="232"/>
      <c r="O9" s="232"/>
      <c r="P9" s="232"/>
      <c r="Q9" s="232"/>
      <c r="R9" s="232"/>
      <c r="S9" s="232"/>
      <c r="T9" s="232"/>
      <c r="U9" s="232"/>
      <c r="V9" s="232"/>
      <c r="W9" s="232"/>
      <c r="X9" s="548"/>
      <c r="Y9" s="540"/>
    </row>
    <row r="10" spans="1:25" ht="15">
      <c r="A10" s="549"/>
      <c r="B10" s="457" t="s">
        <v>131</v>
      </c>
      <c r="C10" s="550">
        <f>IF(Entrada!E82="FACTOR GLOBAL",1,IGV)</f>
        <v>0.8475</v>
      </c>
      <c r="D10" s="335">
        <f>'F5-SC'!C10*C10</f>
        <v>206727.09143099998</v>
      </c>
      <c r="E10" s="551"/>
      <c r="F10" s="551"/>
      <c r="G10" s="551"/>
      <c r="H10" s="551"/>
      <c r="I10" s="551"/>
      <c r="J10" s="551"/>
      <c r="K10" s="551"/>
      <c r="L10" s="551"/>
      <c r="M10" s="551"/>
      <c r="N10" s="551"/>
      <c r="O10" s="551"/>
      <c r="P10" s="551"/>
      <c r="Q10" s="551"/>
      <c r="R10" s="551"/>
      <c r="S10" s="551"/>
      <c r="T10" s="551"/>
      <c r="U10" s="551"/>
      <c r="V10" s="551"/>
      <c r="W10" s="551"/>
      <c r="X10" s="552"/>
      <c r="Y10" s="540"/>
    </row>
    <row r="11" spans="1:25" ht="15">
      <c r="A11" s="549"/>
      <c r="B11" s="457" t="s">
        <v>249</v>
      </c>
      <c r="C11" s="550">
        <f>IF(Entrada!E82="FACTOR GLOBAL",1,IGV)</f>
        <v>0.8475</v>
      </c>
      <c r="D11" s="335">
        <f>'F5-SC'!C11*C11</f>
        <v>26049.50890185</v>
      </c>
      <c r="E11" s="551"/>
      <c r="F11" s="551"/>
      <c r="G11" s="551"/>
      <c r="H11" s="551"/>
      <c r="I11" s="551"/>
      <c r="J11" s="551"/>
      <c r="K11" s="551"/>
      <c r="L11" s="551"/>
      <c r="M11" s="551"/>
      <c r="N11" s="551"/>
      <c r="O11" s="551"/>
      <c r="P11" s="551"/>
      <c r="Q11" s="551"/>
      <c r="R11" s="551"/>
      <c r="S11" s="551"/>
      <c r="T11" s="551"/>
      <c r="U11" s="551"/>
      <c r="V11" s="551"/>
      <c r="W11" s="551"/>
      <c r="X11" s="552"/>
      <c r="Y11" s="540"/>
    </row>
    <row r="12" spans="1:25" ht="9.75" customHeight="1">
      <c r="A12" s="549"/>
      <c r="B12" s="457"/>
      <c r="C12" s="457"/>
      <c r="D12" s="335"/>
      <c r="E12" s="551"/>
      <c r="F12" s="551"/>
      <c r="G12" s="551"/>
      <c r="H12" s="551"/>
      <c r="I12" s="551"/>
      <c r="J12" s="551"/>
      <c r="K12" s="551"/>
      <c r="L12" s="551"/>
      <c r="M12" s="551"/>
      <c r="N12" s="551"/>
      <c r="O12" s="551"/>
      <c r="P12" s="551"/>
      <c r="Q12" s="551"/>
      <c r="R12" s="551"/>
      <c r="S12" s="551"/>
      <c r="T12" s="551"/>
      <c r="U12" s="551"/>
      <c r="V12" s="551"/>
      <c r="W12" s="551"/>
      <c r="X12" s="552"/>
      <c r="Y12" s="540"/>
    </row>
    <row r="13" spans="1:25" ht="15">
      <c r="A13" s="546">
        <v>2</v>
      </c>
      <c r="B13" s="547" t="s">
        <v>140</v>
      </c>
      <c r="C13" s="547"/>
      <c r="D13" s="331">
        <f>+D15+D22+D29+D36+D37</f>
        <v>1848370.206539094</v>
      </c>
      <c r="E13" s="232"/>
      <c r="F13" s="232"/>
      <c r="G13" s="232"/>
      <c r="H13" s="232"/>
      <c r="I13" s="232"/>
      <c r="J13" s="232"/>
      <c r="K13" s="232"/>
      <c r="L13" s="232"/>
      <c r="M13" s="232"/>
      <c r="N13" s="232"/>
      <c r="O13" s="232"/>
      <c r="P13" s="232"/>
      <c r="Q13" s="232"/>
      <c r="R13" s="232"/>
      <c r="S13" s="232"/>
      <c r="T13" s="232"/>
      <c r="U13" s="232"/>
      <c r="V13" s="232"/>
      <c r="W13" s="232"/>
      <c r="X13" s="548"/>
      <c r="Y13" s="540"/>
    </row>
    <row r="14" spans="1:25" ht="8.25" customHeight="1">
      <c r="A14" s="546"/>
      <c r="B14" s="547"/>
      <c r="C14" s="547"/>
      <c r="D14" s="335"/>
      <c r="E14" s="232"/>
      <c r="F14" s="232"/>
      <c r="G14" s="232"/>
      <c r="H14" s="232"/>
      <c r="I14" s="232"/>
      <c r="J14" s="232"/>
      <c r="K14" s="232"/>
      <c r="L14" s="232"/>
      <c r="M14" s="232"/>
      <c r="N14" s="232"/>
      <c r="O14" s="232"/>
      <c r="P14" s="232"/>
      <c r="Q14" s="232"/>
      <c r="R14" s="232"/>
      <c r="S14" s="232"/>
      <c r="T14" s="232"/>
      <c r="U14" s="232"/>
      <c r="V14" s="232"/>
      <c r="W14" s="232"/>
      <c r="X14" s="548"/>
      <c r="Y14" s="540"/>
    </row>
    <row r="15" spans="1:25" ht="15">
      <c r="A15" s="546">
        <v>2.1</v>
      </c>
      <c r="B15" s="547" t="s">
        <v>137</v>
      </c>
      <c r="C15" s="547"/>
      <c r="D15" s="331">
        <f>SUM(D16:D20)</f>
        <v>398483.837286325</v>
      </c>
      <c r="E15" s="232"/>
      <c r="F15" s="232"/>
      <c r="G15" s="232"/>
      <c r="H15" s="232"/>
      <c r="I15" s="232"/>
      <c r="J15" s="232"/>
      <c r="K15" s="232"/>
      <c r="L15" s="232"/>
      <c r="M15" s="232"/>
      <c r="N15" s="232"/>
      <c r="O15" s="232"/>
      <c r="P15" s="232"/>
      <c r="Q15" s="232"/>
      <c r="R15" s="232"/>
      <c r="S15" s="232"/>
      <c r="T15" s="232"/>
      <c r="U15" s="232"/>
      <c r="V15" s="232"/>
      <c r="W15" s="232"/>
      <c r="X15" s="548"/>
      <c r="Y15" s="540"/>
    </row>
    <row r="16" spans="1:25" ht="15">
      <c r="A16" s="546"/>
      <c r="B16" s="457" t="s">
        <v>62</v>
      </c>
      <c r="C16" s="550">
        <f>IF(Entrada!E82="FACTOR GLOBAL",1,Entrada!D85)</f>
        <v>1</v>
      </c>
      <c r="D16" s="335">
        <f>'F5-SC'!C16*C16</f>
        <v>65807.56525</v>
      </c>
      <c r="E16" s="232"/>
      <c r="F16" s="232"/>
      <c r="G16" s="232"/>
      <c r="H16" s="232"/>
      <c r="I16" s="232"/>
      <c r="J16" s="232"/>
      <c r="K16" s="232"/>
      <c r="L16" s="232"/>
      <c r="M16" s="232"/>
      <c r="N16" s="232"/>
      <c r="O16" s="232"/>
      <c r="P16" s="232"/>
      <c r="Q16" s="232"/>
      <c r="R16" s="232"/>
      <c r="S16" s="232"/>
      <c r="T16" s="232"/>
      <c r="U16" s="232"/>
      <c r="V16" s="232"/>
      <c r="W16" s="232"/>
      <c r="X16" s="548"/>
      <c r="Y16" s="540"/>
    </row>
    <row r="17" spans="1:25" ht="15">
      <c r="A17" s="546"/>
      <c r="B17" s="457" t="s">
        <v>63</v>
      </c>
      <c r="C17" s="550">
        <f>IF(Entrada!E82="FACTOR GLOBAL",1,IGV)</f>
        <v>0.8475</v>
      </c>
      <c r="D17" s="335">
        <f>'F5-SC'!C17*C17</f>
        <v>124137.48152137501</v>
      </c>
      <c r="E17" s="232"/>
      <c r="F17" s="232"/>
      <c r="G17" s="232"/>
      <c r="H17" s="232"/>
      <c r="I17" s="232"/>
      <c r="J17" s="232"/>
      <c r="K17" s="232"/>
      <c r="L17" s="232"/>
      <c r="M17" s="232"/>
      <c r="N17" s="232"/>
      <c r="O17" s="232"/>
      <c r="P17" s="232"/>
      <c r="Q17" s="232"/>
      <c r="R17" s="232"/>
      <c r="S17" s="232"/>
      <c r="T17" s="232"/>
      <c r="U17" s="232"/>
      <c r="V17" s="232"/>
      <c r="W17" s="232"/>
      <c r="X17" s="548"/>
      <c r="Y17" s="540"/>
    </row>
    <row r="18" spans="1:25" ht="15">
      <c r="A18" s="546"/>
      <c r="B18" s="457" t="s">
        <v>135</v>
      </c>
      <c r="C18" s="550">
        <f>IF(Entrada!E82="FACTOR GLOBAL",1,Entrada!D84)</f>
        <v>1</v>
      </c>
      <c r="D18" s="335">
        <f>'F5-SC'!C18*C18</f>
        <v>144996.07121999998</v>
      </c>
      <c r="E18" s="232"/>
      <c r="F18" s="232"/>
      <c r="G18" s="232"/>
      <c r="H18" s="232"/>
      <c r="I18" s="232"/>
      <c r="J18" s="232"/>
      <c r="K18" s="232"/>
      <c r="L18" s="232"/>
      <c r="M18" s="232"/>
      <c r="N18" s="232"/>
      <c r="O18" s="232"/>
      <c r="P18" s="232"/>
      <c r="Q18" s="232"/>
      <c r="R18" s="232"/>
      <c r="S18" s="232"/>
      <c r="T18" s="232"/>
      <c r="U18" s="232"/>
      <c r="V18" s="232"/>
      <c r="W18" s="232"/>
      <c r="X18" s="548"/>
      <c r="Y18" s="540"/>
    </row>
    <row r="19" spans="1:25" ht="15">
      <c r="A19" s="546"/>
      <c r="B19" s="457" t="s">
        <v>136</v>
      </c>
      <c r="C19" s="550">
        <f>IF(Entrada!E82="FACTOR GLOBAL",1,Entrada!D83)</f>
        <v>0.49</v>
      </c>
      <c r="D19" s="335">
        <f>'F5-SC'!C19*C19</f>
        <v>47365.3832652</v>
      </c>
      <c r="E19" s="232"/>
      <c r="F19" s="232"/>
      <c r="G19" s="232"/>
      <c r="H19" s="232"/>
      <c r="I19" s="232"/>
      <c r="J19" s="232"/>
      <c r="K19" s="232"/>
      <c r="L19" s="232"/>
      <c r="M19" s="232"/>
      <c r="N19" s="232"/>
      <c r="O19" s="232"/>
      <c r="P19" s="232"/>
      <c r="Q19" s="232"/>
      <c r="R19" s="232"/>
      <c r="S19" s="232"/>
      <c r="T19" s="232"/>
      <c r="U19" s="232"/>
      <c r="V19" s="232"/>
      <c r="W19" s="232"/>
      <c r="X19" s="548"/>
      <c r="Y19" s="540"/>
    </row>
    <row r="20" spans="1:25" ht="15">
      <c r="A20" s="546"/>
      <c r="B20" s="457" t="s">
        <v>134</v>
      </c>
      <c r="C20" s="550">
        <f>IF(Entrada!E82="FACTOR GLOBAL",1,IGV)</f>
        <v>0.8475</v>
      </c>
      <c r="D20" s="335">
        <f>'F5-SC'!C20*C20</f>
        <v>16177.336029750002</v>
      </c>
      <c r="E20" s="232"/>
      <c r="F20" s="232"/>
      <c r="G20" s="232"/>
      <c r="H20" s="232"/>
      <c r="I20" s="232"/>
      <c r="J20" s="232"/>
      <c r="K20" s="232"/>
      <c r="L20" s="232"/>
      <c r="M20" s="232"/>
      <c r="N20" s="232"/>
      <c r="O20" s="232"/>
      <c r="P20" s="232"/>
      <c r="Q20" s="232"/>
      <c r="R20" s="232"/>
      <c r="S20" s="232"/>
      <c r="T20" s="232"/>
      <c r="U20" s="232"/>
      <c r="V20" s="232"/>
      <c r="W20" s="232"/>
      <c r="X20" s="548"/>
      <c r="Y20" s="540"/>
    </row>
    <row r="21" spans="1:25" ht="8.25" customHeight="1">
      <c r="A21" s="546"/>
      <c r="B21" s="547"/>
      <c r="C21" s="547"/>
      <c r="D21" s="335"/>
      <c r="E21" s="232"/>
      <c r="F21" s="232"/>
      <c r="G21" s="232"/>
      <c r="H21" s="232"/>
      <c r="I21" s="232"/>
      <c r="J21" s="232"/>
      <c r="K21" s="232"/>
      <c r="L21" s="232"/>
      <c r="M21" s="232"/>
      <c r="N21" s="232"/>
      <c r="O21" s="232"/>
      <c r="P21" s="232"/>
      <c r="Q21" s="232"/>
      <c r="R21" s="232"/>
      <c r="S21" s="232"/>
      <c r="T21" s="232"/>
      <c r="U21" s="232"/>
      <c r="V21" s="232"/>
      <c r="W21" s="232"/>
      <c r="X21" s="548"/>
      <c r="Y21" s="540"/>
    </row>
    <row r="22" spans="1:25" ht="15">
      <c r="A22" s="546">
        <v>2.2</v>
      </c>
      <c r="B22" s="547" t="s">
        <v>138</v>
      </c>
      <c r="C22" s="547"/>
      <c r="D22" s="331">
        <f>SUM(D23:D27)</f>
        <v>307600.725173525</v>
      </c>
      <c r="E22" s="232"/>
      <c r="F22" s="232"/>
      <c r="G22" s="232"/>
      <c r="H22" s="232"/>
      <c r="I22" s="232"/>
      <c r="J22" s="232"/>
      <c r="K22" s="232"/>
      <c r="L22" s="232"/>
      <c r="M22" s="232"/>
      <c r="N22" s="232"/>
      <c r="O22" s="232"/>
      <c r="P22" s="232"/>
      <c r="Q22" s="232"/>
      <c r="R22" s="232"/>
      <c r="S22" s="232"/>
      <c r="T22" s="232"/>
      <c r="U22" s="232"/>
      <c r="V22" s="232"/>
      <c r="W22" s="232"/>
      <c r="X22" s="548"/>
      <c r="Y22" s="540"/>
    </row>
    <row r="23" spans="1:25" ht="15">
      <c r="A23" s="549"/>
      <c r="B23" s="457" t="s">
        <v>62</v>
      </c>
      <c r="C23" s="550">
        <f>IF(Entrada!E82="FACTOR GLOBAL",1,Entrada!D85)</f>
        <v>1</v>
      </c>
      <c r="D23" s="335">
        <f>'F5-SC'!C23*C23</f>
        <v>73789.56879</v>
      </c>
      <c r="E23" s="551"/>
      <c r="F23" s="551"/>
      <c r="G23" s="551"/>
      <c r="H23" s="551"/>
      <c r="I23" s="551"/>
      <c r="J23" s="551"/>
      <c r="K23" s="551"/>
      <c r="L23" s="551"/>
      <c r="M23" s="551"/>
      <c r="N23" s="551"/>
      <c r="O23" s="551"/>
      <c r="P23" s="551"/>
      <c r="Q23" s="551"/>
      <c r="R23" s="551"/>
      <c r="S23" s="551"/>
      <c r="T23" s="551"/>
      <c r="U23" s="551"/>
      <c r="V23" s="551"/>
      <c r="W23" s="551"/>
      <c r="X23" s="552"/>
      <c r="Y23" s="540"/>
    </row>
    <row r="24" spans="1:25" ht="15">
      <c r="A24" s="549"/>
      <c r="B24" s="457" t="s">
        <v>63</v>
      </c>
      <c r="C24" s="550">
        <f>IF(Entrada!E82="FACTOR GLOBAL",1,IGV)</f>
        <v>0.8475</v>
      </c>
      <c r="D24" s="335">
        <f>'F5-SC'!C24*C24</f>
        <v>139194.501588975</v>
      </c>
      <c r="E24" s="551"/>
      <c r="F24" s="551"/>
      <c r="G24" s="551"/>
      <c r="H24" s="551"/>
      <c r="I24" s="551"/>
      <c r="J24" s="551"/>
      <c r="K24" s="551"/>
      <c r="L24" s="551"/>
      <c r="M24" s="551"/>
      <c r="N24" s="551"/>
      <c r="O24" s="551"/>
      <c r="P24" s="551"/>
      <c r="Q24" s="551"/>
      <c r="R24" s="551"/>
      <c r="S24" s="551"/>
      <c r="T24" s="551"/>
      <c r="U24" s="551"/>
      <c r="V24" s="551"/>
      <c r="W24" s="551"/>
      <c r="X24" s="552"/>
      <c r="Y24" s="540"/>
    </row>
    <row r="25" spans="1:25" ht="15">
      <c r="A25" s="549"/>
      <c r="B25" s="457" t="s">
        <v>135</v>
      </c>
      <c r="C25" s="550">
        <f>IF(Entrada!E82="FACTOR GLOBAL",1,Entrada!D84)</f>
        <v>1</v>
      </c>
      <c r="D25" s="335">
        <f>'F5-SC'!C25*C25</f>
        <v>64153.16417999999</v>
      </c>
      <c r="E25" s="554"/>
      <c r="F25" s="551"/>
      <c r="G25" s="551"/>
      <c r="H25" s="551"/>
      <c r="I25" s="551"/>
      <c r="J25" s="551"/>
      <c r="K25" s="551"/>
      <c r="L25" s="551"/>
      <c r="M25" s="551"/>
      <c r="N25" s="551"/>
      <c r="O25" s="551"/>
      <c r="P25" s="551"/>
      <c r="Q25" s="551"/>
      <c r="R25" s="551"/>
      <c r="S25" s="551"/>
      <c r="T25" s="551"/>
      <c r="U25" s="551"/>
      <c r="V25" s="551"/>
      <c r="W25" s="551"/>
      <c r="X25" s="552"/>
      <c r="Y25" s="540"/>
    </row>
    <row r="26" spans="1:25" ht="15">
      <c r="A26" s="549"/>
      <c r="B26" s="457" t="s">
        <v>136</v>
      </c>
      <c r="C26" s="550">
        <f>IF(Entrada!E82="FACTOR GLOBAL",1,Entrada!D83)</f>
        <v>0.49</v>
      </c>
      <c r="D26" s="335">
        <f>'F5-SC'!C26*C26</f>
        <v>20956.700298800002</v>
      </c>
      <c r="E26" s="554"/>
      <c r="F26" s="551"/>
      <c r="G26" s="551"/>
      <c r="H26" s="551"/>
      <c r="I26" s="551"/>
      <c r="J26" s="551"/>
      <c r="K26" s="551"/>
      <c r="L26" s="551"/>
      <c r="M26" s="551"/>
      <c r="N26" s="551"/>
      <c r="O26" s="551"/>
      <c r="P26" s="551"/>
      <c r="Q26" s="551"/>
      <c r="R26" s="551"/>
      <c r="S26" s="551"/>
      <c r="T26" s="551"/>
      <c r="U26" s="551"/>
      <c r="V26" s="551"/>
      <c r="W26" s="551"/>
      <c r="X26" s="552"/>
      <c r="Y26" s="540"/>
    </row>
    <row r="27" spans="1:25" ht="15">
      <c r="A27" s="549"/>
      <c r="B27" s="457" t="s">
        <v>134</v>
      </c>
      <c r="C27" s="550">
        <f>IF(Entrada!E82="FACTOR GLOBAL",1,IGV)</f>
        <v>0.8475</v>
      </c>
      <c r="D27" s="335">
        <f>'F5-SC'!C27*C27</f>
        <v>9506.79031575</v>
      </c>
      <c r="E27" s="551"/>
      <c r="F27" s="551"/>
      <c r="G27" s="551"/>
      <c r="H27" s="551"/>
      <c r="I27" s="551"/>
      <c r="J27" s="551"/>
      <c r="K27" s="551"/>
      <c r="L27" s="551"/>
      <c r="M27" s="551"/>
      <c r="N27" s="551"/>
      <c r="O27" s="551"/>
      <c r="P27" s="551"/>
      <c r="Q27" s="551"/>
      <c r="R27" s="551"/>
      <c r="S27" s="551"/>
      <c r="T27" s="551"/>
      <c r="U27" s="551"/>
      <c r="V27" s="551"/>
      <c r="W27" s="551"/>
      <c r="X27" s="552"/>
      <c r="Y27" s="540"/>
    </row>
    <row r="28" spans="1:25" ht="6.75" customHeight="1">
      <c r="A28" s="549"/>
      <c r="B28" s="457"/>
      <c r="C28" s="457"/>
      <c r="D28" s="335"/>
      <c r="E28" s="551"/>
      <c r="F28" s="551"/>
      <c r="G28" s="551"/>
      <c r="H28" s="551"/>
      <c r="I28" s="551"/>
      <c r="J28" s="551"/>
      <c r="K28" s="551"/>
      <c r="L28" s="551"/>
      <c r="M28" s="551"/>
      <c r="N28" s="551"/>
      <c r="O28" s="551"/>
      <c r="P28" s="551"/>
      <c r="Q28" s="551"/>
      <c r="R28" s="551"/>
      <c r="S28" s="551"/>
      <c r="T28" s="551"/>
      <c r="U28" s="551"/>
      <c r="V28" s="551"/>
      <c r="W28" s="551"/>
      <c r="X28" s="552"/>
      <c r="Y28" s="540"/>
    </row>
    <row r="29" spans="1:25" ht="15">
      <c r="A29" s="549">
        <v>2.3</v>
      </c>
      <c r="B29" s="547" t="s">
        <v>47</v>
      </c>
      <c r="C29" s="547"/>
      <c r="D29" s="331">
        <f>SUM(D30:D34)</f>
        <v>836474.021701325</v>
      </c>
      <c r="E29" s="551"/>
      <c r="F29" s="551"/>
      <c r="G29" s="551"/>
      <c r="H29" s="551"/>
      <c r="I29" s="551"/>
      <c r="J29" s="551"/>
      <c r="K29" s="551"/>
      <c r="L29" s="551"/>
      <c r="M29" s="551"/>
      <c r="N29" s="551"/>
      <c r="O29" s="551"/>
      <c r="P29" s="551"/>
      <c r="Q29" s="551"/>
      <c r="R29" s="551"/>
      <c r="S29" s="551"/>
      <c r="T29" s="551"/>
      <c r="U29" s="551"/>
      <c r="V29" s="551"/>
      <c r="W29" s="551"/>
      <c r="X29" s="552"/>
      <c r="Y29" s="540"/>
    </row>
    <row r="30" spans="1:25" ht="15">
      <c r="A30" s="549"/>
      <c r="B30" s="457" t="s">
        <v>62</v>
      </c>
      <c r="C30" s="550">
        <f>IF(Entrada!E82="FACTOR GLOBAL",1,Entrada!D85)</f>
        <v>1</v>
      </c>
      <c r="D30" s="335">
        <f>'F5-SC'!C30*C30</f>
        <v>186129.65525</v>
      </c>
      <c r="E30" s="551"/>
      <c r="F30" s="551"/>
      <c r="G30" s="551"/>
      <c r="H30" s="551"/>
      <c r="I30" s="551"/>
      <c r="J30" s="551"/>
      <c r="K30" s="551"/>
      <c r="L30" s="551"/>
      <c r="M30" s="551"/>
      <c r="N30" s="551"/>
      <c r="O30" s="551"/>
      <c r="P30" s="551"/>
      <c r="Q30" s="551"/>
      <c r="R30" s="551"/>
      <c r="S30" s="551"/>
      <c r="T30" s="551"/>
      <c r="U30" s="551"/>
      <c r="V30" s="551"/>
      <c r="W30" s="551"/>
      <c r="X30" s="552"/>
      <c r="Y30" s="540"/>
    </row>
    <row r="31" spans="1:25" ht="15">
      <c r="A31" s="549"/>
      <c r="B31" s="457" t="s">
        <v>63</v>
      </c>
      <c r="C31" s="550">
        <f>IF(Entrada!E82="FACTOR GLOBAL",1,IGV)</f>
        <v>0.8475</v>
      </c>
      <c r="D31" s="335">
        <f>'F5-SC'!C31*C31</f>
        <v>292954.78382887505</v>
      </c>
      <c r="E31" s="551"/>
      <c r="F31" s="551"/>
      <c r="G31" s="551"/>
      <c r="H31" s="551"/>
      <c r="I31" s="551"/>
      <c r="J31" s="551"/>
      <c r="K31" s="551"/>
      <c r="L31" s="551"/>
      <c r="M31" s="551"/>
      <c r="N31" s="551"/>
      <c r="O31" s="551"/>
      <c r="P31" s="551"/>
      <c r="Q31" s="551"/>
      <c r="R31" s="551"/>
      <c r="S31" s="551"/>
      <c r="T31" s="551"/>
      <c r="U31" s="551"/>
      <c r="V31" s="551"/>
      <c r="W31" s="551"/>
      <c r="X31" s="552"/>
      <c r="Y31" s="540"/>
    </row>
    <row r="32" spans="1:25" ht="15">
      <c r="A32" s="549"/>
      <c r="B32" s="457" t="s">
        <v>135</v>
      </c>
      <c r="C32" s="550">
        <f>IF(Entrada!E82="FACTOR GLOBAL",1,Entrada!D84)</f>
        <v>1</v>
      </c>
      <c r="D32" s="335">
        <f>'F5-SC'!C32*C32</f>
        <v>230514.28595999998</v>
      </c>
      <c r="E32" s="551"/>
      <c r="F32" s="551"/>
      <c r="G32" s="551"/>
      <c r="H32" s="551"/>
      <c r="I32" s="551"/>
      <c r="J32" s="551"/>
      <c r="K32" s="551"/>
      <c r="L32" s="551"/>
      <c r="M32" s="551"/>
      <c r="N32" s="551"/>
      <c r="O32" s="551"/>
      <c r="P32" s="551"/>
      <c r="Q32" s="551"/>
      <c r="R32" s="551"/>
      <c r="S32" s="551"/>
      <c r="T32" s="551"/>
      <c r="U32" s="551"/>
      <c r="V32" s="551"/>
      <c r="W32" s="551"/>
      <c r="X32" s="552"/>
      <c r="Y32" s="540"/>
    </row>
    <row r="33" spans="1:25" ht="15">
      <c r="A33" s="549"/>
      <c r="B33" s="457" t="s">
        <v>136</v>
      </c>
      <c r="C33" s="550">
        <f>IF(Entrada!E82="FACTOR GLOBAL",1,Entrada!D83)</f>
        <v>0.49</v>
      </c>
      <c r="D33" s="335">
        <f>'F5-SC'!C33*C33</f>
        <v>60820.3078917</v>
      </c>
      <c r="E33" s="551"/>
      <c r="F33" s="551"/>
      <c r="G33" s="551"/>
      <c r="H33" s="551"/>
      <c r="I33" s="551"/>
      <c r="J33" s="551"/>
      <c r="K33" s="551"/>
      <c r="L33" s="551"/>
      <c r="M33" s="551"/>
      <c r="N33" s="551"/>
      <c r="O33" s="551"/>
      <c r="P33" s="551"/>
      <c r="Q33" s="551"/>
      <c r="R33" s="551"/>
      <c r="S33" s="551"/>
      <c r="T33" s="551"/>
      <c r="U33" s="551"/>
      <c r="V33" s="551"/>
      <c r="W33" s="551"/>
      <c r="X33" s="552"/>
      <c r="Y33" s="540"/>
    </row>
    <row r="34" spans="1:25" ht="15">
      <c r="A34" s="549"/>
      <c r="B34" s="457" t="s">
        <v>134</v>
      </c>
      <c r="C34" s="550">
        <f>IF(Entrada!E82="FACTOR GLOBAL",1,IGV)</f>
        <v>0.8475</v>
      </c>
      <c r="D34" s="335">
        <f>'F5-SC'!C34*C34</f>
        <v>66054.98877075</v>
      </c>
      <c r="E34" s="551"/>
      <c r="F34" s="551"/>
      <c r="G34" s="551"/>
      <c r="H34" s="551"/>
      <c r="I34" s="551"/>
      <c r="J34" s="551"/>
      <c r="K34" s="551"/>
      <c r="L34" s="551"/>
      <c r="M34" s="551"/>
      <c r="N34" s="551"/>
      <c r="O34" s="551"/>
      <c r="P34" s="551"/>
      <c r="Q34" s="551"/>
      <c r="R34" s="551"/>
      <c r="S34" s="551"/>
      <c r="T34" s="551"/>
      <c r="U34" s="551"/>
      <c r="V34" s="551"/>
      <c r="W34" s="551"/>
      <c r="X34" s="552"/>
      <c r="Y34" s="540"/>
    </row>
    <row r="35" spans="1:25" ht="8.25" customHeight="1">
      <c r="A35" s="549"/>
      <c r="B35" s="457"/>
      <c r="C35" s="457"/>
      <c r="D35" s="335"/>
      <c r="E35" s="551"/>
      <c r="F35" s="551"/>
      <c r="G35" s="551"/>
      <c r="H35" s="551"/>
      <c r="I35" s="551"/>
      <c r="J35" s="551"/>
      <c r="K35" s="551"/>
      <c r="L35" s="551"/>
      <c r="M35" s="551"/>
      <c r="N35" s="551"/>
      <c r="O35" s="551"/>
      <c r="P35" s="551"/>
      <c r="Q35" s="551"/>
      <c r="R35" s="551"/>
      <c r="S35" s="551"/>
      <c r="T35" s="551"/>
      <c r="U35" s="551"/>
      <c r="V35" s="551"/>
      <c r="W35" s="551"/>
      <c r="X35" s="552"/>
      <c r="Y35" s="540"/>
    </row>
    <row r="36" spans="1:25" ht="15">
      <c r="A36" s="549">
        <v>2.4</v>
      </c>
      <c r="B36" s="457" t="s">
        <v>133</v>
      </c>
      <c r="C36" s="550">
        <f>IF(Entrada!E82="FACTOR GLOBAL",1,IGV)</f>
        <v>0.8475</v>
      </c>
      <c r="D36" s="335">
        <f>'F5-SC'!C36*C36</f>
        <v>182406.935645025</v>
      </c>
      <c r="E36" s="551"/>
      <c r="F36" s="551"/>
      <c r="G36" s="551"/>
      <c r="H36" s="551"/>
      <c r="I36" s="551"/>
      <c r="J36" s="551"/>
      <c r="K36" s="551"/>
      <c r="L36" s="551"/>
      <c r="M36" s="551"/>
      <c r="N36" s="551"/>
      <c r="O36" s="551"/>
      <c r="P36" s="551"/>
      <c r="Q36" s="551"/>
      <c r="R36" s="551"/>
      <c r="S36" s="551"/>
      <c r="T36" s="551"/>
      <c r="U36" s="551"/>
      <c r="V36" s="551"/>
      <c r="W36" s="551"/>
      <c r="X36" s="552"/>
      <c r="Y36" s="540"/>
    </row>
    <row r="37" spans="1:25" ht="15">
      <c r="A37" s="549">
        <v>2.5</v>
      </c>
      <c r="B37" s="457" t="s">
        <v>130</v>
      </c>
      <c r="C37" s="550"/>
      <c r="D37" s="335">
        <f>Entrada!D77*(D15+D22+D29)</f>
        <v>123404.686732894</v>
      </c>
      <c r="E37" s="551"/>
      <c r="F37" s="551"/>
      <c r="G37" s="551"/>
      <c r="H37" s="551"/>
      <c r="I37" s="551"/>
      <c r="J37" s="551"/>
      <c r="K37" s="551"/>
      <c r="L37" s="551"/>
      <c r="M37" s="551"/>
      <c r="N37" s="551"/>
      <c r="O37" s="551"/>
      <c r="P37" s="551"/>
      <c r="Q37" s="551"/>
      <c r="R37" s="551"/>
      <c r="S37" s="551"/>
      <c r="T37" s="551"/>
      <c r="U37" s="551"/>
      <c r="V37" s="551"/>
      <c r="W37" s="551"/>
      <c r="X37" s="552"/>
      <c r="Y37" s="540"/>
    </row>
    <row r="38" spans="1:25" ht="8.25" customHeight="1">
      <c r="A38" s="549"/>
      <c r="B38" s="457"/>
      <c r="C38" s="457"/>
      <c r="D38" s="335"/>
      <c r="E38" s="551"/>
      <c r="F38" s="551"/>
      <c r="G38" s="551"/>
      <c r="H38" s="551"/>
      <c r="I38" s="551"/>
      <c r="J38" s="551"/>
      <c r="K38" s="551"/>
      <c r="L38" s="551"/>
      <c r="M38" s="551"/>
      <c r="N38" s="551"/>
      <c r="O38" s="551"/>
      <c r="P38" s="551"/>
      <c r="Q38" s="551"/>
      <c r="R38" s="551"/>
      <c r="S38" s="551"/>
      <c r="T38" s="551"/>
      <c r="U38" s="551"/>
      <c r="V38" s="551"/>
      <c r="W38" s="551"/>
      <c r="X38" s="552"/>
      <c r="Y38" s="540"/>
    </row>
    <row r="39" spans="1:25" ht="15">
      <c r="A39" s="546">
        <v>3</v>
      </c>
      <c r="B39" s="547" t="s">
        <v>210</v>
      </c>
      <c r="C39" s="547"/>
      <c r="D39" s="331">
        <f>SUM(D40:D42)</f>
        <v>405221.26854195003</v>
      </c>
      <c r="E39" s="551"/>
      <c r="F39" s="551"/>
      <c r="G39" s="551"/>
      <c r="H39" s="551"/>
      <c r="I39" s="551"/>
      <c r="J39" s="551"/>
      <c r="K39" s="551"/>
      <c r="L39" s="551"/>
      <c r="M39" s="551"/>
      <c r="N39" s="551"/>
      <c r="O39" s="551"/>
      <c r="P39" s="551"/>
      <c r="Q39" s="551"/>
      <c r="R39" s="551"/>
      <c r="S39" s="551"/>
      <c r="T39" s="551"/>
      <c r="U39" s="551"/>
      <c r="V39" s="551"/>
      <c r="W39" s="551"/>
      <c r="X39" s="552"/>
      <c r="Y39" s="540"/>
    </row>
    <row r="40" spans="1:25" ht="15">
      <c r="A40" s="549">
        <v>3.1</v>
      </c>
      <c r="B40" s="457" t="s">
        <v>139</v>
      </c>
      <c r="C40" s="550">
        <f>IF(Entrada!E82="FACTOR GLOBAL",1,IGV)</f>
        <v>0.8475</v>
      </c>
      <c r="D40" s="335">
        <f>'F5-SC'!C40*C40</f>
        <v>2863.4646915</v>
      </c>
      <c r="E40" s="551"/>
      <c r="F40" s="551"/>
      <c r="G40" s="551"/>
      <c r="H40" s="551"/>
      <c r="I40" s="551"/>
      <c r="J40" s="551"/>
      <c r="K40" s="551"/>
      <c r="L40" s="551"/>
      <c r="M40" s="551"/>
      <c r="N40" s="555"/>
      <c r="O40" s="551"/>
      <c r="P40" s="551"/>
      <c r="Q40" s="551"/>
      <c r="R40" s="551"/>
      <c r="S40" s="551"/>
      <c r="T40" s="551"/>
      <c r="U40" s="551"/>
      <c r="V40" s="551"/>
      <c r="W40" s="551"/>
      <c r="X40" s="552"/>
      <c r="Y40" s="540"/>
    </row>
    <row r="41" spans="1:25" ht="15">
      <c r="A41" s="549">
        <v>3.2</v>
      </c>
      <c r="B41" s="457" t="s">
        <v>132</v>
      </c>
      <c r="C41" s="550">
        <f>IF(Entrada!E82="FACTOR GLOBAL",1,IGV)</f>
        <v>0.8475</v>
      </c>
      <c r="D41" s="335">
        <f>'F5-SC'!C41*C41</f>
        <v>359378.403615</v>
      </c>
      <c r="E41" s="551"/>
      <c r="F41" s="551"/>
      <c r="G41" s="551"/>
      <c r="H41" s="551"/>
      <c r="I41" s="551"/>
      <c r="J41" s="551"/>
      <c r="K41" s="551"/>
      <c r="L41" s="551"/>
      <c r="M41" s="551"/>
      <c r="N41" s="555"/>
      <c r="O41" s="551"/>
      <c r="P41" s="551"/>
      <c r="Q41" s="551"/>
      <c r="R41" s="551"/>
      <c r="S41" s="551"/>
      <c r="T41" s="551"/>
      <c r="U41" s="551"/>
      <c r="V41" s="551"/>
      <c r="W41" s="551"/>
      <c r="X41" s="552"/>
      <c r="Y41" s="540"/>
    </row>
    <row r="42" spans="1:25" ht="15">
      <c r="A42" s="549">
        <v>3.3</v>
      </c>
      <c r="B42" s="457" t="s">
        <v>381</v>
      </c>
      <c r="C42" s="550">
        <f>IF(Entrada!E82="FACTOR GLOBAL",1,IGV)</f>
        <v>0.8475</v>
      </c>
      <c r="D42" s="335">
        <f>C42*'F5-SC'!C42</f>
        <v>42979.400235450004</v>
      </c>
      <c r="E42" s="551"/>
      <c r="F42" s="551"/>
      <c r="G42" s="551"/>
      <c r="H42" s="551"/>
      <c r="I42" s="551"/>
      <c r="J42" s="551"/>
      <c r="K42" s="551"/>
      <c r="L42" s="551"/>
      <c r="M42" s="551"/>
      <c r="N42" s="555"/>
      <c r="O42" s="551"/>
      <c r="P42" s="551"/>
      <c r="Q42" s="551"/>
      <c r="R42" s="551"/>
      <c r="S42" s="551"/>
      <c r="T42" s="551"/>
      <c r="U42" s="551"/>
      <c r="V42" s="551"/>
      <c r="W42" s="551"/>
      <c r="X42" s="552"/>
      <c r="Y42" s="540"/>
    </row>
    <row r="43" spans="1:25" ht="15">
      <c r="A43" s="556"/>
      <c r="B43" s="547" t="s">
        <v>64</v>
      </c>
      <c r="C43" s="550"/>
      <c r="D43" s="335"/>
      <c r="E43" s="551"/>
      <c r="F43" s="589"/>
      <c r="G43" s="551"/>
      <c r="H43" s="551"/>
      <c r="I43" s="551"/>
      <c r="J43" s="551"/>
      <c r="K43" s="551"/>
      <c r="L43" s="551"/>
      <c r="M43" s="551"/>
      <c r="N43" s="551"/>
      <c r="O43" s="551"/>
      <c r="P43" s="551"/>
      <c r="Q43" s="551"/>
      <c r="R43" s="551"/>
      <c r="S43" s="551"/>
      <c r="T43" s="551"/>
      <c r="U43" s="551"/>
      <c r="V43" s="551"/>
      <c r="W43" s="551"/>
      <c r="X43" s="552">
        <f>-(D13)*(10/30)/1.18</f>
        <v>-522138.4764234729</v>
      </c>
      <c r="Y43" s="540"/>
    </row>
    <row r="44" spans="1:25" ht="7.5" customHeight="1">
      <c r="A44" s="556"/>
      <c r="B44" s="547"/>
      <c r="C44" s="547"/>
      <c r="D44" s="335"/>
      <c r="E44" s="551"/>
      <c r="F44" s="551"/>
      <c r="G44" s="551"/>
      <c r="H44" s="551"/>
      <c r="I44" s="551"/>
      <c r="J44" s="551"/>
      <c r="K44" s="551"/>
      <c r="L44" s="551"/>
      <c r="M44" s="551"/>
      <c r="N44" s="551"/>
      <c r="O44" s="551"/>
      <c r="P44" s="551"/>
      <c r="Q44" s="551"/>
      <c r="R44" s="551"/>
      <c r="S44" s="551"/>
      <c r="T44" s="551"/>
      <c r="U44" s="551"/>
      <c r="V44" s="551"/>
      <c r="W44" s="551"/>
      <c r="X44" s="552"/>
      <c r="Y44" s="540"/>
    </row>
    <row r="45" spans="1:25" ht="15">
      <c r="A45" s="557"/>
      <c r="B45" s="354" t="s">
        <v>143</v>
      </c>
      <c r="C45" s="354"/>
      <c r="D45" s="558">
        <f>D9+D13+D39</f>
        <v>2486368.075413894</v>
      </c>
      <c r="E45" s="558"/>
      <c r="F45" s="558"/>
      <c r="G45" s="558"/>
      <c r="H45" s="558"/>
      <c r="I45" s="558"/>
      <c r="J45" s="558"/>
      <c r="K45" s="558"/>
      <c r="L45" s="558"/>
      <c r="M45" s="558"/>
      <c r="N45" s="558"/>
      <c r="O45" s="558"/>
      <c r="P45" s="558"/>
      <c r="Q45" s="558"/>
      <c r="R45" s="558"/>
      <c r="S45" s="558"/>
      <c r="T45" s="558"/>
      <c r="U45" s="558"/>
      <c r="V45" s="558"/>
      <c r="W45" s="558"/>
      <c r="X45" s="559">
        <f>SUM(X43:X44)</f>
        <v>-522138.4764234729</v>
      </c>
      <c r="Y45" s="540"/>
    </row>
    <row r="46" spans="1:25" ht="6" customHeight="1">
      <c r="A46" s="560"/>
      <c r="B46" s="547"/>
      <c r="C46" s="547"/>
      <c r="D46" s="232"/>
      <c r="E46" s="232"/>
      <c r="F46" s="232"/>
      <c r="G46" s="232"/>
      <c r="H46" s="232"/>
      <c r="I46" s="232"/>
      <c r="J46" s="232"/>
      <c r="K46" s="232"/>
      <c r="L46" s="232"/>
      <c r="M46" s="232"/>
      <c r="N46" s="232"/>
      <c r="O46" s="232"/>
      <c r="P46" s="232"/>
      <c r="Q46" s="232"/>
      <c r="R46" s="232"/>
      <c r="S46" s="232"/>
      <c r="T46" s="232"/>
      <c r="U46" s="232"/>
      <c r="V46" s="232"/>
      <c r="W46" s="232"/>
      <c r="X46" s="548"/>
      <c r="Y46" s="540"/>
    </row>
    <row r="47" spans="1:25" ht="15">
      <c r="A47" s="556"/>
      <c r="B47" s="547" t="s">
        <v>147</v>
      </c>
      <c r="C47" s="561">
        <f>IF(Entrada!E82="FACTOR GLOBAL",0.8309,"")</f>
      </c>
      <c r="D47" s="562"/>
      <c r="E47" s="551"/>
      <c r="F47" s="551"/>
      <c r="G47" s="551"/>
      <c r="H47" s="551"/>
      <c r="I47" s="551"/>
      <c r="J47" s="551"/>
      <c r="K47" s="551"/>
      <c r="L47" s="551"/>
      <c r="M47" s="551"/>
      <c r="N47" s="551"/>
      <c r="O47" s="551"/>
      <c r="P47" s="551"/>
      <c r="Q47" s="551"/>
      <c r="R47" s="551"/>
      <c r="S47" s="551"/>
      <c r="T47" s="551"/>
      <c r="U47" s="551"/>
      <c r="V47" s="551"/>
      <c r="W47" s="551"/>
      <c r="X47" s="552"/>
      <c r="Y47" s="540"/>
    </row>
    <row r="48" spans="1:25" ht="8.25" customHeight="1">
      <c r="A48" s="556"/>
      <c r="B48" s="457"/>
      <c r="C48" s="457"/>
      <c r="D48" s="551"/>
      <c r="E48" s="551"/>
      <c r="F48" s="551"/>
      <c r="G48" s="551"/>
      <c r="H48" s="551"/>
      <c r="I48" s="551"/>
      <c r="J48" s="551"/>
      <c r="K48" s="551"/>
      <c r="L48" s="551"/>
      <c r="M48" s="551"/>
      <c r="N48" s="551"/>
      <c r="O48" s="551"/>
      <c r="P48" s="551"/>
      <c r="Q48" s="551"/>
      <c r="R48" s="551"/>
      <c r="S48" s="551"/>
      <c r="T48" s="551"/>
      <c r="U48" s="551"/>
      <c r="V48" s="551"/>
      <c r="W48" s="551"/>
      <c r="X48" s="552"/>
      <c r="Y48" s="540"/>
    </row>
    <row r="49" spans="1:25" ht="15">
      <c r="A49" s="557"/>
      <c r="B49" s="564" t="s">
        <v>439</v>
      </c>
      <c r="C49" s="564"/>
      <c r="D49" s="565">
        <f>G69*D45*sensInver</f>
        <v>2486368.075413894</v>
      </c>
      <c r="E49" s="558"/>
      <c r="F49" s="558"/>
      <c r="G49" s="558"/>
      <c r="H49" s="558"/>
      <c r="I49" s="558"/>
      <c r="J49" s="558"/>
      <c r="K49" s="558"/>
      <c r="L49" s="558"/>
      <c r="M49" s="558"/>
      <c r="N49" s="558"/>
      <c r="O49" s="558"/>
      <c r="P49" s="558"/>
      <c r="Q49" s="558"/>
      <c r="R49" s="558"/>
      <c r="S49" s="558"/>
      <c r="T49" s="558"/>
      <c r="U49" s="558"/>
      <c r="V49" s="558"/>
      <c r="W49" s="558"/>
      <c r="X49" s="559">
        <f>(SUM(X36:X43)+X10)</f>
        <v>-522138.4764234729</v>
      </c>
      <c r="Y49" s="540"/>
    </row>
    <row r="50" spans="1:25" ht="15">
      <c r="A50" s="569" t="s">
        <v>1</v>
      </c>
      <c r="B50" s="570" t="s">
        <v>141</v>
      </c>
      <c r="C50" s="570"/>
      <c r="D50" s="567"/>
      <c r="E50" s="567"/>
      <c r="F50" s="567"/>
      <c r="G50" s="567"/>
      <c r="H50" s="567"/>
      <c r="I50" s="567"/>
      <c r="J50" s="567"/>
      <c r="K50" s="567"/>
      <c r="L50" s="567"/>
      <c r="M50" s="567"/>
      <c r="N50" s="567"/>
      <c r="O50" s="567"/>
      <c r="P50" s="567"/>
      <c r="Q50" s="567"/>
      <c r="R50" s="567"/>
      <c r="S50" s="567"/>
      <c r="T50" s="567"/>
      <c r="U50" s="567"/>
      <c r="V50" s="567"/>
      <c r="W50" s="567"/>
      <c r="X50" s="568"/>
      <c r="Y50" s="540"/>
    </row>
    <row r="51" spans="1:25" ht="15">
      <c r="A51" s="556"/>
      <c r="B51" s="457" t="s">
        <v>40</v>
      </c>
      <c r="C51" s="550">
        <f>IF(Entrada!D16="Sistema Fotovoltaico",0,H68)</f>
        <v>0.8475</v>
      </c>
      <c r="D51" s="551"/>
      <c r="E51" s="551">
        <f>'F5-SC'!D47*$C$51*SenPcom</f>
        <v>50143.23287649566</v>
      </c>
      <c r="F51" s="551">
        <f>'F5-SC'!E47*$C$51*SenPcom</f>
        <v>51061.54081644153</v>
      </c>
      <c r="G51" s="551">
        <f>'F5-SC'!F47*$C$51*SenPcom</f>
        <v>51854.29780657338</v>
      </c>
      <c r="H51" s="551">
        <f>'F5-SC'!G47*$C$51*SenPcom</f>
        <v>52791.19458817967</v>
      </c>
      <c r="I51" s="551">
        <f>'F5-SC'!H47*$C$51*SenPcom</f>
        <v>53701.78306605785</v>
      </c>
      <c r="J51" s="551">
        <f>'F5-SC'!I47*$C$51*SenPcom</f>
        <v>54657.10072904407</v>
      </c>
      <c r="K51" s="551">
        <f>'F5-SC'!J47*$C$51*SenPcom</f>
        <v>55622.31146949856</v>
      </c>
      <c r="L51" s="551">
        <f>'F5-SC'!K47*$C$51*SenPcom</f>
        <v>56597.51541185891</v>
      </c>
      <c r="M51" s="551">
        <f>'F5-SC'!L47*$C$51*SenPcom</f>
        <v>57582.8136151774</v>
      </c>
      <c r="N51" s="551">
        <f>'F5-SC'!M47*$C$51*SenPcom</f>
        <v>58578.308081430754</v>
      </c>
      <c r="O51" s="551">
        <f>'F5-SC'!N47*$C$51*SenPcom</f>
        <v>59584.10176390136</v>
      </c>
      <c r="P51" s="551">
        <f>'F5-SC'!O47*$C$51*SenPcom</f>
        <v>60600.29857563068</v>
      </c>
      <c r="Q51" s="551">
        <f>'F5-SC'!P47*$C$51*SenPcom</f>
        <v>61627.00339794541</v>
      </c>
      <c r="R51" s="551">
        <f>'F5-SC'!Q47*$C$51*SenPcom</f>
        <v>62838.71124003538</v>
      </c>
      <c r="S51" s="551">
        <f>'F5-SC'!R47*$C$51*SenPcom</f>
        <v>63886.75064371268</v>
      </c>
      <c r="T51" s="551">
        <f>'F5-SC'!S47*$C$51*SenPcom</f>
        <v>65026.06862081364</v>
      </c>
      <c r="U51" s="551">
        <f>'F5-SC'!T47*$C$51*SenPcom</f>
        <v>66096.46125214385</v>
      </c>
      <c r="V51" s="551">
        <f>'F5-SC'!U47*$C$51*SenPcom</f>
        <v>67321.40692515575</v>
      </c>
      <c r="W51" s="551">
        <f>'F5-SC'!V47*$C$51*SenPcom</f>
        <v>68496.83418848702</v>
      </c>
      <c r="X51" s="552">
        <f>'F5-SC'!W47*$C$51*SenPcom</f>
        <v>69684.74065708896</v>
      </c>
      <c r="Y51" s="540"/>
    </row>
    <row r="52" spans="1:25" ht="15">
      <c r="A52" s="556"/>
      <c r="B52" s="457" t="s">
        <v>6</v>
      </c>
      <c r="C52" s="550">
        <f>IF(Entrada!D16="Sistema Fotovoltaico",0,H68)</f>
        <v>0.8475</v>
      </c>
      <c r="D52" s="551"/>
      <c r="E52" s="551">
        <f>'F5-SC'!D48*$C$52</f>
        <v>40129.52582593046</v>
      </c>
      <c r="F52" s="551">
        <f>'F5-SC'!E48*$C$52</f>
        <v>40129.52582593046</v>
      </c>
      <c r="G52" s="551">
        <f>'F5-SC'!F48*$C$52</f>
        <v>40129.52582593046</v>
      </c>
      <c r="H52" s="551">
        <f>'F5-SC'!G48*$C$52</f>
        <v>40129.52582593046</v>
      </c>
      <c r="I52" s="551">
        <f>'F5-SC'!H48*$C$52</f>
        <v>40129.52582593046</v>
      </c>
      <c r="J52" s="551">
        <f>'F5-SC'!I48*$C$52</f>
        <v>40129.52582593046</v>
      </c>
      <c r="K52" s="551">
        <f>'F5-SC'!J48*$C$52</f>
        <v>40129.52582593046</v>
      </c>
      <c r="L52" s="551">
        <f>'F5-SC'!K48*$C$52</f>
        <v>40129.52582593046</v>
      </c>
      <c r="M52" s="551">
        <f>'F5-SC'!L48*$C$52</f>
        <v>40129.52582593046</v>
      </c>
      <c r="N52" s="551">
        <f>'F5-SC'!M48*$C$52</f>
        <v>40129.52582593046</v>
      </c>
      <c r="O52" s="551">
        <f>'F5-SC'!N48*$C$52</f>
        <v>40129.52582593046</v>
      </c>
      <c r="P52" s="551">
        <f>'F5-SC'!O48*$C$52</f>
        <v>40129.52582593046</v>
      </c>
      <c r="Q52" s="551">
        <f>'F5-SC'!P48*$C$52</f>
        <v>40129.52582593046</v>
      </c>
      <c r="R52" s="551">
        <f>'F5-SC'!Q48*$C$52</f>
        <v>40129.52582593046</v>
      </c>
      <c r="S52" s="551">
        <f>'F5-SC'!R48*$C$52</f>
        <v>40129.52582593046</v>
      </c>
      <c r="T52" s="551">
        <f>'F5-SC'!S48*$C$52</f>
        <v>40129.52582593046</v>
      </c>
      <c r="U52" s="551">
        <f>'F5-SC'!T48*$C$52</f>
        <v>40129.52582593046</v>
      </c>
      <c r="V52" s="551">
        <f>'F5-SC'!U48*$C$52</f>
        <v>40129.52582593046</v>
      </c>
      <c r="W52" s="551">
        <f>'F5-SC'!V48*$C$52</f>
        <v>40129.52582593046</v>
      </c>
      <c r="X52" s="552">
        <f>'F5-SC'!W48*$C$52</f>
        <v>40129.52582593046</v>
      </c>
      <c r="Y52" s="540"/>
    </row>
    <row r="53" spans="1:25" ht="15">
      <c r="A53" s="556"/>
      <c r="B53" s="457"/>
      <c r="C53" s="457"/>
      <c r="D53" s="551"/>
      <c r="E53" s="551"/>
      <c r="F53" s="551"/>
      <c r="G53" s="551"/>
      <c r="H53" s="551"/>
      <c r="I53" s="551"/>
      <c r="J53" s="551"/>
      <c r="K53" s="551"/>
      <c r="L53" s="551"/>
      <c r="M53" s="551"/>
      <c r="N53" s="551"/>
      <c r="O53" s="551"/>
      <c r="P53" s="551"/>
      <c r="Q53" s="551"/>
      <c r="R53" s="551"/>
      <c r="S53" s="551"/>
      <c r="T53" s="551"/>
      <c r="U53" s="551"/>
      <c r="V53" s="551"/>
      <c r="W53" s="551"/>
      <c r="X53" s="552"/>
      <c r="Y53" s="540"/>
    </row>
    <row r="54" spans="1:25" ht="15">
      <c r="A54" s="571"/>
      <c r="B54" s="354" t="s">
        <v>144</v>
      </c>
      <c r="C54" s="354"/>
      <c r="D54" s="572"/>
      <c r="E54" s="572">
        <f>SUM(E51:E53)</f>
        <v>90272.75870242613</v>
      </c>
      <c r="F54" s="572">
        <f aca="true" t="shared" si="1" ref="F54:X54">SUM(F51:F53)</f>
        <v>91191.066642372</v>
      </c>
      <c r="G54" s="572">
        <f t="shared" si="1"/>
        <v>91983.82363250383</v>
      </c>
      <c r="H54" s="572">
        <f t="shared" si="1"/>
        <v>92920.72041411014</v>
      </c>
      <c r="I54" s="572">
        <f t="shared" si="1"/>
        <v>93831.3088919883</v>
      </c>
      <c r="J54" s="572">
        <f t="shared" si="1"/>
        <v>94786.62655497453</v>
      </c>
      <c r="K54" s="572">
        <f t="shared" si="1"/>
        <v>95751.83729542902</v>
      </c>
      <c r="L54" s="572">
        <f t="shared" si="1"/>
        <v>96727.04123778938</v>
      </c>
      <c r="M54" s="572">
        <f t="shared" si="1"/>
        <v>97712.33944110786</v>
      </c>
      <c r="N54" s="572">
        <f t="shared" si="1"/>
        <v>98707.83390736122</v>
      </c>
      <c r="O54" s="572">
        <f t="shared" si="1"/>
        <v>99713.62758983183</v>
      </c>
      <c r="P54" s="572">
        <f t="shared" si="1"/>
        <v>100729.82440156114</v>
      </c>
      <c r="Q54" s="572">
        <f t="shared" si="1"/>
        <v>101756.52922387587</v>
      </c>
      <c r="R54" s="572">
        <f t="shared" si="1"/>
        <v>102968.23706596583</v>
      </c>
      <c r="S54" s="572">
        <f t="shared" si="1"/>
        <v>104016.27646964314</v>
      </c>
      <c r="T54" s="572">
        <f t="shared" si="1"/>
        <v>105155.5944467441</v>
      </c>
      <c r="U54" s="572">
        <f t="shared" si="1"/>
        <v>106225.98707807431</v>
      </c>
      <c r="V54" s="572">
        <f t="shared" si="1"/>
        <v>107450.93275108622</v>
      </c>
      <c r="W54" s="572">
        <f t="shared" si="1"/>
        <v>108626.36001441747</v>
      </c>
      <c r="X54" s="573">
        <f t="shared" si="1"/>
        <v>109814.26648301943</v>
      </c>
      <c r="Y54" s="540"/>
    </row>
    <row r="55" spans="1:25" ht="15">
      <c r="A55" s="569" t="s">
        <v>8</v>
      </c>
      <c r="B55" s="570" t="s">
        <v>142</v>
      </c>
      <c r="C55" s="570"/>
      <c r="D55" s="567"/>
      <c r="E55" s="544"/>
      <c r="F55" s="544"/>
      <c r="G55" s="544"/>
      <c r="H55" s="544"/>
      <c r="I55" s="544"/>
      <c r="J55" s="544"/>
      <c r="K55" s="544"/>
      <c r="L55" s="544"/>
      <c r="M55" s="544"/>
      <c r="N55" s="544"/>
      <c r="O55" s="544"/>
      <c r="P55" s="544"/>
      <c r="Q55" s="544"/>
      <c r="R55" s="544"/>
      <c r="S55" s="544"/>
      <c r="T55" s="544"/>
      <c r="U55" s="544"/>
      <c r="V55" s="544"/>
      <c r="W55" s="544"/>
      <c r="X55" s="545"/>
      <c r="Y55" s="540"/>
    </row>
    <row r="56" spans="1:25" ht="15">
      <c r="A56" s="574"/>
      <c r="B56" s="457" t="s">
        <v>40</v>
      </c>
      <c r="C56" s="457"/>
      <c r="D56" s="232"/>
      <c r="E56" s="551"/>
      <c r="F56" s="551"/>
      <c r="G56" s="551"/>
      <c r="H56" s="551"/>
      <c r="I56" s="551"/>
      <c r="J56" s="551"/>
      <c r="K56" s="551"/>
      <c r="L56" s="551"/>
      <c r="M56" s="551"/>
      <c r="N56" s="551"/>
      <c r="O56" s="551"/>
      <c r="P56" s="551"/>
      <c r="Q56" s="551"/>
      <c r="R56" s="551"/>
      <c r="S56" s="551"/>
      <c r="T56" s="551"/>
      <c r="U56" s="551"/>
      <c r="V56" s="551"/>
      <c r="W56" s="551"/>
      <c r="X56" s="552"/>
      <c r="Y56" s="540"/>
    </row>
    <row r="57" spans="1:25" ht="15">
      <c r="A57" s="574"/>
      <c r="B57" s="457" t="s">
        <v>6</v>
      </c>
      <c r="C57" s="457"/>
      <c r="D57" s="232"/>
      <c r="E57" s="551"/>
      <c r="F57" s="551"/>
      <c r="G57" s="551"/>
      <c r="H57" s="551"/>
      <c r="I57" s="551"/>
      <c r="J57" s="551"/>
      <c r="K57" s="551"/>
      <c r="L57" s="551"/>
      <c r="M57" s="551"/>
      <c r="N57" s="551"/>
      <c r="O57" s="551"/>
      <c r="P57" s="551"/>
      <c r="Q57" s="551"/>
      <c r="R57" s="551"/>
      <c r="S57" s="551"/>
      <c r="T57" s="551"/>
      <c r="U57" s="551"/>
      <c r="V57" s="551"/>
      <c r="W57" s="551"/>
      <c r="X57" s="552"/>
      <c r="Y57" s="540"/>
    </row>
    <row r="58" spans="1:25" ht="15">
      <c r="A58" s="556"/>
      <c r="B58" s="457" t="s">
        <v>7</v>
      </c>
      <c r="C58" s="457"/>
      <c r="D58" s="551"/>
      <c r="E58" s="551"/>
      <c r="F58" s="551"/>
      <c r="G58" s="551"/>
      <c r="H58" s="551"/>
      <c r="I58" s="551"/>
      <c r="J58" s="551"/>
      <c r="K58" s="551"/>
      <c r="L58" s="551"/>
      <c r="M58" s="551"/>
      <c r="N58" s="551"/>
      <c r="O58" s="551"/>
      <c r="P58" s="551"/>
      <c r="Q58" s="551"/>
      <c r="R58" s="551"/>
      <c r="S58" s="551"/>
      <c r="T58" s="551"/>
      <c r="U58" s="551"/>
      <c r="V58" s="551"/>
      <c r="W58" s="551"/>
      <c r="X58" s="552"/>
      <c r="Y58" s="540"/>
    </row>
    <row r="59" spans="1:25" ht="15">
      <c r="A59" s="556"/>
      <c r="B59" s="354" t="s">
        <v>144</v>
      </c>
      <c r="C59" s="354"/>
      <c r="D59" s="572"/>
      <c r="E59" s="572">
        <f>SUM(E56:E58)</f>
        <v>0</v>
      </c>
      <c r="F59" s="572">
        <f aca="true" t="shared" si="2" ref="F59:X59">SUM(F56:F58)</f>
        <v>0</v>
      </c>
      <c r="G59" s="572">
        <f t="shared" si="2"/>
        <v>0</v>
      </c>
      <c r="H59" s="572">
        <f t="shared" si="2"/>
        <v>0</v>
      </c>
      <c r="I59" s="572">
        <f t="shared" si="2"/>
        <v>0</v>
      </c>
      <c r="J59" s="572">
        <f t="shared" si="2"/>
        <v>0</v>
      </c>
      <c r="K59" s="572">
        <f t="shared" si="2"/>
        <v>0</v>
      </c>
      <c r="L59" s="572">
        <f t="shared" si="2"/>
        <v>0</v>
      </c>
      <c r="M59" s="572">
        <f t="shared" si="2"/>
        <v>0</v>
      </c>
      <c r="N59" s="572">
        <f t="shared" si="2"/>
        <v>0</v>
      </c>
      <c r="O59" s="572">
        <f t="shared" si="2"/>
        <v>0</v>
      </c>
      <c r="P59" s="572">
        <f t="shared" si="2"/>
        <v>0</v>
      </c>
      <c r="Q59" s="572">
        <f t="shared" si="2"/>
        <v>0</v>
      </c>
      <c r="R59" s="572">
        <f t="shared" si="2"/>
        <v>0</v>
      </c>
      <c r="S59" s="572">
        <f t="shared" si="2"/>
        <v>0</v>
      </c>
      <c r="T59" s="572">
        <f t="shared" si="2"/>
        <v>0</v>
      </c>
      <c r="U59" s="572">
        <f t="shared" si="2"/>
        <v>0</v>
      </c>
      <c r="V59" s="572">
        <f t="shared" si="2"/>
        <v>0</v>
      </c>
      <c r="W59" s="572">
        <f t="shared" si="2"/>
        <v>0</v>
      </c>
      <c r="X59" s="573">
        <f t="shared" si="2"/>
        <v>0</v>
      </c>
      <c r="Y59" s="540"/>
    </row>
    <row r="60" spans="1:25" ht="15">
      <c r="A60" s="571"/>
      <c r="B60" s="575" t="s">
        <v>9</v>
      </c>
      <c r="C60" s="575"/>
      <c r="D60" s="572">
        <f>D49+D54</f>
        <v>2486368.075413894</v>
      </c>
      <c r="E60" s="572">
        <f>E49+E54-E59</f>
        <v>90272.75870242613</v>
      </c>
      <c r="F60" s="572">
        <f aca="true" t="shared" si="3" ref="F60:V60">F49+F54-F59</f>
        <v>91191.066642372</v>
      </c>
      <c r="G60" s="572">
        <f t="shared" si="3"/>
        <v>91983.82363250383</v>
      </c>
      <c r="H60" s="572">
        <f t="shared" si="3"/>
        <v>92920.72041411014</v>
      </c>
      <c r="I60" s="572">
        <f t="shared" si="3"/>
        <v>93831.3088919883</v>
      </c>
      <c r="J60" s="572">
        <f t="shared" si="3"/>
        <v>94786.62655497453</v>
      </c>
      <c r="K60" s="572">
        <f t="shared" si="3"/>
        <v>95751.83729542902</v>
      </c>
      <c r="L60" s="572">
        <f t="shared" si="3"/>
        <v>96727.04123778938</v>
      </c>
      <c r="M60" s="572">
        <f t="shared" si="3"/>
        <v>97712.33944110786</v>
      </c>
      <c r="N60" s="572">
        <f t="shared" si="3"/>
        <v>98707.83390736122</v>
      </c>
      <c r="O60" s="572">
        <f t="shared" si="3"/>
        <v>99713.62758983183</v>
      </c>
      <c r="P60" s="572">
        <f t="shared" si="3"/>
        <v>100729.82440156114</v>
      </c>
      <c r="Q60" s="572">
        <f t="shared" si="3"/>
        <v>101756.52922387587</v>
      </c>
      <c r="R60" s="572">
        <f t="shared" si="3"/>
        <v>102968.23706596583</v>
      </c>
      <c r="S60" s="572">
        <f t="shared" si="3"/>
        <v>104016.27646964314</v>
      </c>
      <c r="T60" s="572">
        <f t="shared" si="3"/>
        <v>105155.5944467441</v>
      </c>
      <c r="U60" s="572">
        <f t="shared" si="3"/>
        <v>106225.98707807431</v>
      </c>
      <c r="V60" s="572">
        <f t="shared" si="3"/>
        <v>107450.93275108622</v>
      </c>
      <c r="W60" s="572">
        <f>W49+W54-W59</f>
        <v>108626.36001441747</v>
      </c>
      <c r="X60" s="573">
        <f>X49+X54-X59</f>
        <v>-412324.2099404535</v>
      </c>
      <c r="Y60" s="540"/>
    </row>
    <row r="61" spans="1:25" ht="15.75" thickBot="1">
      <c r="A61" s="576"/>
      <c r="B61" s="577"/>
      <c r="C61" s="577"/>
      <c r="D61" s="578"/>
      <c r="E61" s="578"/>
      <c r="F61" s="578"/>
      <c r="G61" s="578"/>
      <c r="H61" s="578"/>
      <c r="I61" s="578"/>
      <c r="J61" s="578"/>
      <c r="K61" s="578"/>
      <c r="L61" s="578"/>
      <c r="M61" s="578"/>
      <c r="N61" s="578"/>
      <c r="O61" s="578"/>
      <c r="P61" s="578"/>
      <c r="Q61" s="578"/>
      <c r="R61" s="578"/>
      <c r="S61" s="578"/>
      <c r="T61" s="578"/>
      <c r="U61" s="578"/>
      <c r="V61" s="578"/>
      <c r="W61" s="578"/>
      <c r="X61" s="579"/>
      <c r="Y61" s="540"/>
    </row>
    <row r="65" ht="15" hidden="1"/>
    <row r="66" spans="2:7" ht="15" hidden="1">
      <c r="B66" s="791" t="s">
        <v>37</v>
      </c>
      <c r="C66" s="580" t="s">
        <v>127</v>
      </c>
      <c r="D66" s="518" t="s">
        <v>128</v>
      </c>
      <c r="E66" s="518" t="s">
        <v>126</v>
      </c>
      <c r="F66" s="581"/>
      <c r="G66" s="518" t="s">
        <v>225</v>
      </c>
    </row>
    <row r="67" spans="2:7" ht="15" hidden="1">
      <c r="B67" s="582" t="s">
        <v>282</v>
      </c>
      <c r="C67" s="583">
        <v>0.41</v>
      </c>
      <c r="D67" s="520">
        <v>0.49</v>
      </c>
      <c r="E67" s="520">
        <v>0.57</v>
      </c>
      <c r="G67" s="584">
        <f>IF(Entrada!$E$82="FACTOR GLOBAL","",HLOOKUP(region,$B$66:$E$67,2,FALSE))</f>
        <v>0.49</v>
      </c>
    </row>
    <row r="68" spans="2:9" ht="15" hidden="1">
      <c r="B68" s="585" t="s">
        <v>283</v>
      </c>
      <c r="C68" s="586"/>
      <c r="D68" s="586"/>
      <c r="E68" s="587"/>
      <c r="G68" s="520">
        <f>IF(Entrada!D16="Sistema Fotovoltaico",0,IF(Entrada!$E$82="FACTOR GLOBAL","",0.8475))</f>
        <v>0.8475</v>
      </c>
      <c r="H68" s="590">
        <v>0.8475</v>
      </c>
      <c r="I68" s="591"/>
    </row>
    <row r="69" spans="2:7" ht="15" hidden="1">
      <c r="B69" s="354" t="s">
        <v>147</v>
      </c>
      <c r="C69" s="586"/>
      <c r="D69" s="586"/>
      <c r="E69" s="587"/>
      <c r="G69" s="588">
        <f>IF(Entrada!$E$82="FACTOR GLOBAL",0.8309,1)</f>
        <v>1</v>
      </c>
    </row>
    <row r="70" spans="3:7" ht="15" hidden="1">
      <c r="C70"/>
      <c r="D70"/>
      <c r="E70"/>
      <c r="F70"/>
      <c r="G70"/>
    </row>
    <row r="71" ht="15" hidden="1"/>
  </sheetData>
  <sheetProtection password="FFA0" sheet="1"/>
  <mergeCells count="6">
    <mergeCell ref="A2:X2"/>
    <mergeCell ref="A3:X3"/>
    <mergeCell ref="A4:X4"/>
    <mergeCell ref="A5:B7"/>
    <mergeCell ref="D5:X5"/>
    <mergeCell ref="C5:C7"/>
  </mergeCells>
  <conditionalFormatting sqref="C10">
    <cfRule type="cellIs" priority="4" dxfId="33" operator="equal" stopIfTrue="1">
      <formula>1</formula>
    </cfRule>
  </conditionalFormatting>
  <conditionalFormatting sqref="C11">
    <cfRule type="cellIs" priority="3" dxfId="33" operator="equal" stopIfTrue="1">
      <formula>1</formula>
    </cfRule>
  </conditionalFormatting>
  <conditionalFormatting sqref="C9:C42">
    <cfRule type="cellIs" priority="2" dxfId="33" operator="equal" stopIfTrue="1">
      <formula>1</formula>
    </cfRule>
  </conditionalFormatting>
  <conditionalFormatting sqref="C51:C52">
    <cfRule type="cellIs" priority="1" dxfId="33" operator="equal" stopIfTrue="1">
      <formula>1</formula>
    </cfRule>
  </conditionalFormatting>
  <printOptions horizontalCentered="1" verticalCentered="1"/>
  <pageMargins left="0.2755905511811024" right="0.1968503937007874" top="0.54" bottom="0.41" header="0.31496062992125984" footer="0.31496062992125984"/>
  <pageSetup fitToHeight="1" fitToWidth="1" horizontalDpi="300" verticalDpi="300" orientation="landscape" paperSize="9" scale="57" r:id="rId2"/>
  <colBreaks count="2" manualBreakCount="2">
    <brk id="80" max="37" man="1"/>
    <brk id="162" max="37" man="1"/>
  </colBreaks>
  <drawing r:id="rId1"/>
</worksheet>
</file>

<file path=xl/worksheets/sheet13.xml><?xml version="1.0" encoding="utf-8"?>
<worksheet xmlns="http://schemas.openxmlformats.org/spreadsheetml/2006/main" xmlns:r="http://schemas.openxmlformats.org/officeDocument/2006/relationships">
  <sheetPr codeName="Hoja19">
    <pageSetUpPr fitToPage="1"/>
  </sheetPr>
  <dimension ref="A1:Y76"/>
  <sheetViews>
    <sheetView showGridLines="0" showZeros="0" zoomScale="87" zoomScaleNormal="87" zoomScaleSheetLayoutView="84" zoomScalePageLayoutView="0" workbookViewId="0" topLeftCell="A1">
      <pane ySplit="1" topLeftCell="A11" activePane="bottomLeft" state="frozen"/>
      <selection pane="topLeft" activeCell="K132" sqref="K132"/>
      <selection pane="bottomLeft" activeCell="J23" sqref="J23"/>
    </sheetView>
  </sheetViews>
  <sheetFormatPr defaultColWidth="11.421875" defaultRowHeight="15"/>
  <cols>
    <col min="1" max="1" width="4.00390625" style="234" bestFit="1" customWidth="1"/>
    <col min="2" max="2" width="38.8515625" style="234" customWidth="1"/>
    <col min="3" max="3" width="10.8515625" style="234" customWidth="1"/>
    <col min="4" max="4" width="14.00390625" style="234" customWidth="1"/>
    <col min="5" max="11" width="8.28125" style="234" bestFit="1" customWidth="1"/>
    <col min="12" max="12" width="10.421875" style="234" bestFit="1" customWidth="1"/>
    <col min="13" max="15" width="8.28125" style="234" bestFit="1" customWidth="1"/>
    <col min="16" max="24" width="9.00390625" style="234" bestFit="1" customWidth="1"/>
    <col min="25" max="25" width="11.421875" style="234" customWidth="1"/>
    <col min="26" max="26" width="29.00390625" style="234" customWidth="1"/>
    <col min="27" max="27" width="15.7109375" style="234" customWidth="1"/>
    <col min="28" max="16384" width="11.421875" style="234" customWidth="1"/>
  </cols>
  <sheetData>
    <row r="1" spans="1:25" ht="26.25" customHeight="1" thickBot="1">
      <c r="A1" s="540"/>
      <c r="B1" s="540"/>
      <c r="C1" s="540"/>
      <c r="D1" s="541"/>
      <c r="E1" s="541"/>
      <c r="F1" s="541"/>
      <c r="G1" s="541"/>
      <c r="H1" s="541"/>
      <c r="I1" s="541"/>
      <c r="J1" s="541"/>
      <c r="K1" s="541"/>
      <c r="L1" s="541"/>
      <c r="M1" s="541"/>
      <c r="N1" s="541"/>
      <c r="O1" s="541"/>
      <c r="P1" s="541"/>
      <c r="Q1" s="541"/>
      <c r="R1" s="541"/>
      <c r="S1" s="541"/>
      <c r="T1" s="541"/>
      <c r="U1" s="541"/>
      <c r="V1" s="541"/>
      <c r="W1" s="541"/>
      <c r="X1" s="541"/>
      <c r="Y1" s="540"/>
    </row>
    <row r="2" spans="1:25" ht="15.75">
      <c r="A2" s="876" t="s">
        <v>129</v>
      </c>
      <c r="B2" s="877"/>
      <c r="C2" s="877"/>
      <c r="D2" s="877"/>
      <c r="E2" s="877"/>
      <c r="F2" s="877"/>
      <c r="G2" s="877"/>
      <c r="H2" s="877"/>
      <c r="I2" s="877"/>
      <c r="J2" s="877"/>
      <c r="K2" s="877"/>
      <c r="L2" s="877"/>
      <c r="M2" s="877"/>
      <c r="N2" s="877"/>
      <c r="O2" s="877"/>
      <c r="P2" s="877"/>
      <c r="Q2" s="877"/>
      <c r="R2" s="877"/>
      <c r="S2" s="877"/>
      <c r="T2" s="877"/>
      <c r="U2" s="877"/>
      <c r="V2" s="877"/>
      <c r="W2" s="877"/>
      <c r="X2" s="878"/>
      <c r="Y2" s="540"/>
    </row>
    <row r="3" spans="1:25" ht="15.75">
      <c r="A3" s="879" t="s">
        <v>342</v>
      </c>
      <c r="B3" s="880"/>
      <c r="C3" s="880"/>
      <c r="D3" s="880"/>
      <c r="E3" s="880"/>
      <c r="F3" s="880"/>
      <c r="G3" s="880"/>
      <c r="H3" s="880"/>
      <c r="I3" s="880"/>
      <c r="J3" s="880"/>
      <c r="K3" s="880"/>
      <c r="L3" s="880"/>
      <c r="M3" s="880"/>
      <c r="N3" s="880"/>
      <c r="O3" s="880"/>
      <c r="P3" s="880"/>
      <c r="Q3" s="880"/>
      <c r="R3" s="880"/>
      <c r="S3" s="880"/>
      <c r="T3" s="880"/>
      <c r="U3" s="880"/>
      <c r="V3" s="880"/>
      <c r="W3" s="880"/>
      <c r="X3" s="881"/>
      <c r="Y3" s="540"/>
    </row>
    <row r="4" spans="1:25" ht="15.75">
      <c r="A4" s="882" t="s">
        <v>145</v>
      </c>
      <c r="B4" s="883"/>
      <c r="C4" s="883"/>
      <c r="D4" s="883"/>
      <c r="E4" s="883"/>
      <c r="F4" s="883"/>
      <c r="G4" s="883"/>
      <c r="H4" s="883"/>
      <c r="I4" s="883"/>
      <c r="J4" s="883"/>
      <c r="K4" s="883"/>
      <c r="L4" s="883"/>
      <c r="M4" s="883"/>
      <c r="N4" s="883"/>
      <c r="O4" s="883"/>
      <c r="P4" s="883"/>
      <c r="Q4" s="883"/>
      <c r="R4" s="883"/>
      <c r="S4" s="883"/>
      <c r="T4" s="883"/>
      <c r="U4" s="883"/>
      <c r="V4" s="883"/>
      <c r="W4" s="883"/>
      <c r="X4" s="884"/>
      <c r="Y4" s="540"/>
    </row>
    <row r="5" spans="1:25" ht="15" customHeight="1">
      <c r="A5" s="867" t="s">
        <v>4</v>
      </c>
      <c r="B5" s="868"/>
      <c r="C5" s="887" t="s">
        <v>146</v>
      </c>
      <c r="D5" s="873" t="s">
        <v>92</v>
      </c>
      <c r="E5" s="874"/>
      <c r="F5" s="874"/>
      <c r="G5" s="874"/>
      <c r="H5" s="874"/>
      <c r="I5" s="874"/>
      <c r="J5" s="874"/>
      <c r="K5" s="874"/>
      <c r="L5" s="874"/>
      <c r="M5" s="874"/>
      <c r="N5" s="874"/>
      <c r="O5" s="874"/>
      <c r="P5" s="874"/>
      <c r="Q5" s="874"/>
      <c r="R5" s="874"/>
      <c r="S5" s="874"/>
      <c r="T5" s="874"/>
      <c r="U5" s="874"/>
      <c r="V5" s="874"/>
      <c r="W5" s="874"/>
      <c r="X5" s="875"/>
      <c r="Y5" s="540"/>
    </row>
    <row r="6" spans="1:25" ht="14.25" customHeight="1">
      <c r="A6" s="869"/>
      <c r="B6" s="870"/>
      <c r="C6" s="885"/>
      <c r="D6" s="8">
        <v>0</v>
      </c>
      <c r="E6" s="8">
        <v>1</v>
      </c>
      <c r="F6" s="8">
        <v>2</v>
      </c>
      <c r="G6" s="8">
        <v>3</v>
      </c>
      <c r="H6" s="8">
        <v>4</v>
      </c>
      <c r="I6" s="8">
        <v>5</v>
      </c>
      <c r="J6" s="8">
        <v>6</v>
      </c>
      <c r="K6" s="8">
        <v>7</v>
      </c>
      <c r="L6" s="8">
        <v>8</v>
      </c>
      <c r="M6" s="8">
        <v>9</v>
      </c>
      <c r="N6" s="8">
        <v>10</v>
      </c>
      <c r="O6" s="8">
        <v>11</v>
      </c>
      <c r="P6" s="8">
        <v>12</v>
      </c>
      <c r="Q6" s="8">
        <v>13</v>
      </c>
      <c r="R6" s="8">
        <v>14</v>
      </c>
      <c r="S6" s="8">
        <v>15</v>
      </c>
      <c r="T6" s="8">
        <v>16</v>
      </c>
      <c r="U6" s="8">
        <v>17</v>
      </c>
      <c r="V6" s="8">
        <v>18</v>
      </c>
      <c r="W6" s="8">
        <v>19</v>
      </c>
      <c r="X6" s="114">
        <v>20</v>
      </c>
      <c r="Y6" s="540"/>
    </row>
    <row r="7" spans="1:25" ht="18.75" customHeight="1">
      <c r="A7" s="871"/>
      <c r="B7" s="872"/>
      <c r="C7" s="886"/>
      <c r="D7" s="8">
        <f>'F2'!C8</f>
        <v>2011</v>
      </c>
      <c r="E7" s="8">
        <f>+D7+1</f>
        <v>2012</v>
      </c>
      <c r="F7" s="8">
        <f aca="true" t="shared" si="0" ref="F7:X7">+E7+1</f>
        <v>2013</v>
      </c>
      <c r="G7" s="8">
        <f t="shared" si="0"/>
        <v>2014</v>
      </c>
      <c r="H7" s="8">
        <f t="shared" si="0"/>
        <v>2015</v>
      </c>
      <c r="I7" s="8">
        <f t="shared" si="0"/>
        <v>2016</v>
      </c>
      <c r="J7" s="8">
        <f t="shared" si="0"/>
        <v>2017</v>
      </c>
      <c r="K7" s="8">
        <f t="shared" si="0"/>
        <v>2018</v>
      </c>
      <c r="L7" s="8">
        <f t="shared" si="0"/>
        <v>2019</v>
      </c>
      <c r="M7" s="8">
        <f t="shared" si="0"/>
        <v>2020</v>
      </c>
      <c r="N7" s="8">
        <f t="shared" si="0"/>
        <v>2021</v>
      </c>
      <c r="O7" s="8">
        <f t="shared" si="0"/>
        <v>2022</v>
      </c>
      <c r="P7" s="8">
        <f t="shared" si="0"/>
        <v>2023</v>
      </c>
      <c r="Q7" s="8">
        <f t="shared" si="0"/>
        <v>2024</v>
      </c>
      <c r="R7" s="8">
        <f t="shared" si="0"/>
        <v>2025</v>
      </c>
      <c r="S7" s="8">
        <f t="shared" si="0"/>
        <v>2026</v>
      </c>
      <c r="T7" s="8">
        <f t="shared" si="0"/>
        <v>2027</v>
      </c>
      <c r="U7" s="8">
        <f t="shared" si="0"/>
        <v>2028</v>
      </c>
      <c r="V7" s="8">
        <f t="shared" si="0"/>
        <v>2029</v>
      </c>
      <c r="W7" s="8">
        <f t="shared" si="0"/>
        <v>2030</v>
      </c>
      <c r="X7" s="114">
        <f t="shared" si="0"/>
        <v>2031</v>
      </c>
      <c r="Y7" s="540"/>
    </row>
    <row r="8" spans="1:25" ht="15">
      <c r="A8" s="542" t="s">
        <v>0</v>
      </c>
      <c r="B8" s="543" t="s">
        <v>5</v>
      </c>
      <c r="C8" s="543"/>
      <c r="D8" s="544"/>
      <c r="E8" s="544"/>
      <c r="F8" s="544"/>
      <c r="G8" s="544"/>
      <c r="H8" s="544"/>
      <c r="I8" s="544"/>
      <c r="J8" s="544"/>
      <c r="K8" s="544"/>
      <c r="L8" s="544"/>
      <c r="M8" s="544"/>
      <c r="N8" s="544"/>
      <c r="O8" s="544"/>
      <c r="P8" s="544"/>
      <c r="Q8" s="544"/>
      <c r="R8" s="544"/>
      <c r="S8" s="544"/>
      <c r="T8" s="544"/>
      <c r="U8" s="544"/>
      <c r="V8" s="544"/>
      <c r="W8" s="544"/>
      <c r="X8" s="545"/>
      <c r="Y8" s="540"/>
    </row>
    <row r="9" spans="1:25" ht="15">
      <c r="A9" s="546">
        <v>1</v>
      </c>
      <c r="B9" s="547" t="s">
        <v>25</v>
      </c>
      <c r="C9" s="547"/>
      <c r="D9" s="232">
        <f>SUM(D10:D12)</f>
        <v>16011.3429</v>
      </c>
      <c r="E9" s="232"/>
      <c r="F9" s="232"/>
      <c r="G9" s="232"/>
      <c r="H9" s="232"/>
      <c r="I9" s="232"/>
      <c r="J9" s="232"/>
      <c r="K9" s="232"/>
      <c r="L9" s="232"/>
      <c r="M9" s="232"/>
      <c r="N9" s="232"/>
      <c r="O9" s="232"/>
      <c r="P9" s="232"/>
      <c r="Q9" s="232"/>
      <c r="R9" s="232"/>
      <c r="S9" s="232"/>
      <c r="T9" s="232"/>
      <c r="U9" s="232"/>
      <c r="V9" s="232"/>
      <c r="W9" s="232"/>
      <c r="X9" s="548"/>
      <c r="Y9" s="540"/>
    </row>
    <row r="10" spans="1:25" ht="15">
      <c r="A10" s="549">
        <v>1.1</v>
      </c>
      <c r="B10" s="457" t="s">
        <v>289</v>
      </c>
      <c r="C10" s="550">
        <f>IF(Entrada!K82="FACTOR GLOBAL",1,igvf)</f>
        <v>0.8475</v>
      </c>
      <c r="D10" s="335">
        <f>'F5-SF'!D10*C10</f>
        <v>0</v>
      </c>
      <c r="E10" s="551"/>
      <c r="F10" s="551"/>
      <c r="G10" s="551"/>
      <c r="H10" s="551"/>
      <c r="I10" s="551"/>
      <c r="J10" s="551"/>
      <c r="K10" s="551"/>
      <c r="L10" s="551"/>
      <c r="M10" s="551"/>
      <c r="N10" s="551"/>
      <c r="O10" s="551"/>
      <c r="P10" s="551"/>
      <c r="Q10" s="551"/>
      <c r="R10" s="551"/>
      <c r="S10" s="551"/>
      <c r="T10" s="551"/>
      <c r="U10" s="551"/>
      <c r="V10" s="551"/>
      <c r="W10" s="551"/>
      <c r="X10" s="552"/>
      <c r="Y10" s="540"/>
    </row>
    <row r="11" spans="1:25" ht="15">
      <c r="A11" s="549">
        <v>1.2</v>
      </c>
      <c r="B11" s="457" t="s">
        <v>290</v>
      </c>
      <c r="C11" s="550">
        <f>IF(Entrada!K82="FACTOR GLOBAL",1,igvf)</f>
        <v>0.8475</v>
      </c>
      <c r="D11" s="335">
        <f>'F5-SF'!D11*C11</f>
        <v>16011.3429</v>
      </c>
      <c r="E11" s="551"/>
      <c r="F11" s="551"/>
      <c r="G11" s="551"/>
      <c r="H11" s="551"/>
      <c r="I11" s="551"/>
      <c r="J11" s="551"/>
      <c r="K11" s="551"/>
      <c r="L11" s="551"/>
      <c r="M11" s="551"/>
      <c r="N11" s="551"/>
      <c r="O11" s="551"/>
      <c r="P11" s="551"/>
      <c r="Q11" s="551"/>
      <c r="R11" s="551"/>
      <c r="S11" s="551"/>
      <c r="T11" s="551"/>
      <c r="U11" s="551"/>
      <c r="V11" s="551"/>
      <c r="W11" s="551"/>
      <c r="X11" s="552"/>
      <c r="Y11" s="540"/>
    </row>
    <row r="12" spans="1:25" ht="15">
      <c r="A12" s="549"/>
      <c r="B12" s="457" t="s">
        <v>249</v>
      </c>
      <c r="C12" s="550">
        <f>IF(Entrada!K82="FACTOR GLOBAL",1,igvf)</f>
        <v>0.8475</v>
      </c>
      <c r="D12" s="335">
        <f>'F5-SF'!D12*C12</f>
        <v>0</v>
      </c>
      <c r="E12" s="551"/>
      <c r="F12" s="551"/>
      <c r="G12" s="551"/>
      <c r="H12" s="551"/>
      <c r="I12" s="551"/>
      <c r="J12" s="551"/>
      <c r="K12" s="551"/>
      <c r="L12" s="551"/>
      <c r="M12" s="551"/>
      <c r="N12" s="551"/>
      <c r="O12" s="551"/>
      <c r="P12" s="551"/>
      <c r="Q12" s="551"/>
      <c r="R12" s="551"/>
      <c r="S12" s="551"/>
      <c r="T12" s="551"/>
      <c r="U12" s="551"/>
      <c r="V12" s="551"/>
      <c r="W12" s="551"/>
      <c r="X12" s="552"/>
      <c r="Y12" s="540"/>
    </row>
    <row r="13" spans="1:25" ht="15">
      <c r="A13" s="549"/>
      <c r="B13" s="457"/>
      <c r="C13" s="550"/>
      <c r="D13" s="335"/>
      <c r="E13" s="551"/>
      <c r="F13" s="551"/>
      <c r="G13" s="551"/>
      <c r="H13" s="551"/>
      <c r="I13" s="551"/>
      <c r="J13" s="551"/>
      <c r="K13" s="551"/>
      <c r="L13" s="551"/>
      <c r="M13" s="551"/>
      <c r="N13" s="551"/>
      <c r="O13" s="551"/>
      <c r="P13" s="551"/>
      <c r="Q13" s="551"/>
      <c r="R13" s="551"/>
      <c r="S13" s="551"/>
      <c r="T13" s="551"/>
      <c r="U13" s="551"/>
      <c r="V13" s="551"/>
      <c r="W13" s="551"/>
      <c r="X13" s="552"/>
      <c r="Y13" s="540"/>
    </row>
    <row r="14" spans="1:25" ht="15">
      <c r="A14" s="546">
        <v>2</v>
      </c>
      <c r="B14" s="547" t="s">
        <v>140</v>
      </c>
      <c r="C14" s="550"/>
      <c r="D14" s="331">
        <f>D16+D23+D26+D29+D31+D32</f>
        <v>1861458.4411460098</v>
      </c>
      <c r="E14" s="232"/>
      <c r="F14" s="232"/>
      <c r="G14" s="232"/>
      <c r="H14" s="232"/>
      <c r="I14" s="232"/>
      <c r="J14" s="232"/>
      <c r="K14" s="232"/>
      <c r="L14" s="232"/>
      <c r="M14" s="232"/>
      <c r="N14" s="232"/>
      <c r="O14" s="232"/>
      <c r="P14" s="232"/>
      <c r="Q14" s="232"/>
      <c r="R14" s="232"/>
      <c r="S14" s="232"/>
      <c r="T14" s="232"/>
      <c r="U14" s="232"/>
      <c r="V14" s="232"/>
      <c r="W14" s="232"/>
      <c r="X14" s="548"/>
      <c r="Y14" s="540"/>
    </row>
    <row r="15" spans="1:25" ht="8.25" customHeight="1">
      <c r="A15" s="546"/>
      <c r="B15" s="547"/>
      <c r="C15" s="550"/>
      <c r="D15" s="335"/>
      <c r="E15" s="232"/>
      <c r="F15" s="232"/>
      <c r="G15" s="232"/>
      <c r="H15" s="232"/>
      <c r="I15" s="232"/>
      <c r="J15" s="232"/>
      <c r="K15" s="232"/>
      <c r="L15" s="232"/>
      <c r="M15" s="232"/>
      <c r="N15" s="232"/>
      <c r="O15" s="232"/>
      <c r="P15" s="232"/>
      <c r="Q15" s="232"/>
      <c r="R15" s="232"/>
      <c r="S15" s="232"/>
      <c r="T15" s="232"/>
      <c r="U15" s="232"/>
      <c r="V15" s="232"/>
      <c r="W15" s="232"/>
      <c r="X15" s="548"/>
      <c r="Y15" s="540"/>
    </row>
    <row r="16" spans="1:25" ht="15">
      <c r="A16" s="546">
        <v>2.1</v>
      </c>
      <c r="B16" s="547" t="s">
        <v>306</v>
      </c>
      <c r="C16" s="550"/>
      <c r="D16" s="331">
        <f>SUM(D17:D22)</f>
        <v>1248563.57472</v>
      </c>
      <c r="E16" s="232"/>
      <c r="F16" s="232"/>
      <c r="G16" s="232"/>
      <c r="H16" s="232"/>
      <c r="I16" s="232"/>
      <c r="J16" s="232"/>
      <c r="K16" s="232"/>
      <c r="L16" s="232"/>
      <c r="M16" s="232"/>
      <c r="N16" s="232"/>
      <c r="O16" s="232"/>
      <c r="P16" s="232"/>
      <c r="Q16" s="232"/>
      <c r="R16" s="232"/>
      <c r="S16" s="232"/>
      <c r="T16" s="232"/>
      <c r="U16" s="232"/>
      <c r="V16" s="232"/>
      <c r="W16" s="232"/>
      <c r="X16" s="548"/>
      <c r="Y16" s="540"/>
    </row>
    <row r="17" spans="1:25" ht="15">
      <c r="A17" s="546"/>
      <c r="B17" s="553" t="s">
        <v>297</v>
      </c>
      <c r="C17" s="550">
        <f>IF(Entrada!K82="FACTOR GLOBAL",1,Entrada!J85)</f>
        <v>1</v>
      </c>
      <c r="D17" s="335">
        <f>'F5-SF'!D17*C17</f>
        <v>545991.516</v>
      </c>
      <c r="E17" s="232"/>
      <c r="F17" s="232"/>
      <c r="G17" s="232"/>
      <c r="H17" s="232"/>
      <c r="I17" s="232"/>
      <c r="J17" s="232"/>
      <c r="K17" s="232"/>
      <c r="L17" s="232"/>
      <c r="M17" s="232"/>
      <c r="N17" s="232"/>
      <c r="O17" s="232"/>
      <c r="P17" s="232"/>
      <c r="Q17" s="232"/>
      <c r="R17" s="232"/>
      <c r="S17" s="232"/>
      <c r="T17" s="232"/>
      <c r="U17" s="232"/>
      <c r="V17" s="232"/>
      <c r="W17" s="232"/>
      <c r="X17" s="548"/>
      <c r="Y17" s="540"/>
    </row>
    <row r="18" spans="1:25" ht="15">
      <c r="A18" s="546"/>
      <c r="B18" s="553" t="s">
        <v>298</v>
      </c>
      <c r="C18" s="550">
        <f>IF(Entrada!K82="FACTOR GLOBAL",1,Entrada!J85)</f>
        <v>1</v>
      </c>
      <c r="D18" s="335">
        <f>'F5-SF'!D18*C18</f>
        <v>528988.32</v>
      </c>
      <c r="E18" s="232"/>
      <c r="F18" s="232"/>
      <c r="G18" s="232"/>
      <c r="H18" s="232"/>
      <c r="I18" s="232"/>
      <c r="J18" s="232"/>
      <c r="K18" s="232"/>
      <c r="L18" s="232"/>
      <c r="M18" s="232"/>
      <c r="N18" s="232"/>
      <c r="O18" s="232"/>
      <c r="P18" s="232"/>
      <c r="Q18" s="232"/>
      <c r="R18" s="232"/>
      <c r="S18" s="232"/>
      <c r="T18" s="232"/>
      <c r="U18" s="232"/>
      <c r="V18" s="232"/>
      <c r="W18" s="232"/>
      <c r="X18" s="548"/>
      <c r="Y18" s="540"/>
    </row>
    <row r="19" spans="1:25" ht="15">
      <c r="A19" s="546"/>
      <c r="B19" s="553" t="s">
        <v>299</v>
      </c>
      <c r="C19" s="550">
        <f>IF(Entrada!K82="FACTOR GLOBAL",1,Entrada!J85)</f>
        <v>1</v>
      </c>
      <c r="D19" s="335">
        <f>'F5-SF'!D19*C19</f>
        <v>94462.2</v>
      </c>
      <c r="E19" s="232"/>
      <c r="F19" s="232"/>
      <c r="G19" s="232"/>
      <c r="H19" s="232"/>
      <c r="I19" s="232"/>
      <c r="J19" s="232"/>
      <c r="K19" s="232"/>
      <c r="L19" s="232"/>
      <c r="M19" s="232"/>
      <c r="N19" s="232"/>
      <c r="O19" s="232"/>
      <c r="P19" s="232"/>
      <c r="Q19" s="232"/>
      <c r="R19" s="232"/>
      <c r="S19" s="232"/>
      <c r="T19" s="232"/>
      <c r="U19" s="232"/>
      <c r="V19" s="232"/>
      <c r="W19" s="232"/>
      <c r="X19" s="548"/>
      <c r="Y19" s="540"/>
    </row>
    <row r="20" spans="1:25" ht="15">
      <c r="A20" s="546"/>
      <c r="B20" s="553" t="s">
        <v>300</v>
      </c>
      <c r="C20" s="550">
        <f>IF(Entrada!K82="FACTOR GLOBAL",1,Entrada!J85)</f>
        <v>1</v>
      </c>
      <c r="D20" s="335">
        <f>'F5-SF'!D20*C20</f>
        <v>73680.51599999999</v>
      </c>
      <c r="E20" s="232"/>
      <c r="F20" s="232"/>
      <c r="G20" s="232"/>
      <c r="H20" s="232"/>
      <c r="I20" s="232"/>
      <c r="J20" s="232"/>
      <c r="K20" s="232"/>
      <c r="L20" s="232"/>
      <c r="M20" s="232"/>
      <c r="N20" s="232"/>
      <c r="O20" s="232"/>
      <c r="P20" s="232"/>
      <c r="Q20" s="232"/>
      <c r="R20" s="232"/>
      <c r="S20" s="232"/>
      <c r="T20" s="232"/>
      <c r="U20" s="232"/>
      <c r="V20" s="232"/>
      <c r="W20" s="232"/>
      <c r="X20" s="548"/>
      <c r="Y20" s="540"/>
    </row>
    <row r="21" spans="1:25" ht="15">
      <c r="A21" s="546"/>
      <c r="B21" s="553" t="s">
        <v>301</v>
      </c>
      <c r="C21" s="550">
        <f>IF(Entrada!K82="FACTOR GLOBAL",1,Entrada!J85)</f>
        <v>1</v>
      </c>
      <c r="D21" s="335">
        <f>'F5-SF'!D21*C21</f>
        <v>5441.022719999999</v>
      </c>
      <c r="E21" s="232"/>
      <c r="F21" s="232"/>
      <c r="G21" s="232"/>
      <c r="H21" s="232"/>
      <c r="I21" s="232"/>
      <c r="J21" s="232"/>
      <c r="K21" s="232"/>
      <c r="L21" s="232"/>
      <c r="M21" s="232"/>
      <c r="N21" s="232"/>
      <c r="O21" s="232"/>
      <c r="P21" s="232"/>
      <c r="Q21" s="232"/>
      <c r="R21" s="232"/>
      <c r="S21" s="232"/>
      <c r="T21" s="232"/>
      <c r="U21" s="232"/>
      <c r="V21" s="232"/>
      <c r="W21" s="232"/>
      <c r="X21" s="548"/>
      <c r="Y21" s="540"/>
    </row>
    <row r="22" spans="1:25" ht="15">
      <c r="A22" s="546"/>
      <c r="B22" s="553" t="s">
        <v>436</v>
      </c>
      <c r="C22" s="550">
        <f>IF(Entrada!K82="FACTOR GLOBAL",1,Entrada!J85)</f>
        <v>1</v>
      </c>
      <c r="D22" s="335">
        <f>'F5-SF'!D22*C22</f>
        <v>0</v>
      </c>
      <c r="E22" s="232"/>
      <c r="F22" s="232"/>
      <c r="G22" s="232"/>
      <c r="H22" s="232"/>
      <c r="I22" s="232"/>
      <c r="J22" s="232"/>
      <c r="K22" s="232"/>
      <c r="L22" s="232"/>
      <c r="M22" s="232"/>
      <c r="N22" s="232"/>
      <c r="O22" s="232"/>
      <c r="P22" s="232"/>
      <c r="Q22" s="232"/>
      <c r="R22" s="232"/>
      <c r="S22" s="232"/>
      <c r="T22" s="232"/>
      <c r="U22" s="232"/>
      <c r="V22" s="232"/>
      <c r="W22" s="232"/>
      <c r="X22" s="548"/>
      <c r="Y22" s="540"/>
    </row>
    <row r="23" spans="1:25" ht="15">
      <c r="A23" s="546">
        <v>2.2</v>
      </c>
      <c r="B23" s="547" t="s">
        <v>307</v>
      </c>
      <c r="C23" s="550"/>
      <c r="D23" s="331">
        <f>SUM(D24:D25)</f>
        <v>272192.8293</v>
      </c>
      <c r="E23" s="232"/>
      <c r="F23" s="232"/>
      <c r="G23" s="232"/>
      <c r="H23" s="232"/>
      <c r="I23" s="232"/>
      <c r="J23" s="232"/>
      <c r="K23" s="232"/>
      <c r="L23" s="232"/>
      <c r="M23" s="232"/>
      <c r="N23" s="232"/>
      <c r="O23" s="232"/>
      <c r="P23" s="232"/>
      <c r="Q23" s="232"/>
      <c r="R23" s="232"/>
      <c r="S23" s="232"/>
      <c r="T23" s="232"/>
      <c r="U23" s="232"/>
      <c r="V23" s="232"/>
      <c r="W23" s="232"/>
      <c r="X23" s="548"/>
      <c r="Y23" s="540"/>
    </row>
    <row r="24" spans="1:25" ht="15">
      <c r="A24" s="546"/>
      <c r="B24" s="553" t="s">
        <v>302</v>
      </c>
      <c r="C24" s="550">
        <f>IF(Entrada!K82="FACTOR GLOBAL",1,igvf)</f>
        <v>0.8475</v>
      </c>
      <c r="D24" s="335">
        <f>'F5-SF'!D24*C24</f>
        <v>40028.35725</v>
      </c>
      <c r="E24" s="232"/>
      <c r="F24" s="232"/>
      <c r="G24" s="232"/>
      <c r="H24" s="232"/>
      <c r="I24" s="232"/>
      <c r="J24" s="232"/>
      <c r="K24" s="232"/>
      <c r="L24" s="232"/>
      <c r="M24" s="232"/>
      <c r="N24" s="232"/>
      <c r="O24" s="232"/>
      <c r="P24" s="232"/>
      <c r="Q24" s="232"/>
      <c r="R24" s="232"/>
      <c r="S24" s="232"/>
      <c r="T24" s="232"/>
      <c r="U24" s="232"/>
      <c r="V24" s="232"/>
      <c r="W24" s="232"/>
      <c r="X24" s="548"/>
      <c r="Y24" s="540"/>
    </row>
    <row r="25" spans="1:25" ht="15">
      <c r="A25" s="549"/>
      <c r="B25" s="553" t="s">
        <v>303</v>
      </c>
      <c r="C25" s="550">
        <f>IF(Entrada!K82="FACTOR GLOBAL",1,igvf)</f>
        <v>0.8475</v>
      </c>
      <c r="D25" s="335">
        <f>'F5-SF'!D25*C25</f>
        <v>232164.47204999995</v>
      </c>
      <c r="E25" s="551"/>
      <c r="F25" s="551"/>
      <c r="G25" s="551"/>
      <c r="H25" s="551"/>
      <c r="I25" s="551"/>
      <c r="J25" s="551"/>
      <c r="K25" s="551"/>
      <c r="L25" s="551"/>
      <c r="M25" s="551"/>
      <c r="N25" s="551"/>
      <c r="O25" s="551"/>
      <c r="P25" s="551"/>
      <c r="Q25" s="551"/>
      <c r="R25" s="551"/>
      <c r="S25" s="551"/>
      <c r="T25" s="551"/>
      <c r="U25" s="551"/>
      <c r="V25" s="551"/>
      <c r="W25" s="551"/>
      <c r="X25" s="552"/>
      <c r="Y25" s="540"/>
    </row>
    <row r="26" spans="1:25" ht="15">
      <c r="A26" s="546">
        <v>2.3</v>
      </c>
      <c r="B26" s="547" t="s">
        <v>308</v>
      </c>
      <c r="C26" s="550"/>
      <c r="D26" s="331">
        <f>SUM(D27:D28)</f>
        <v>75569.76</v>
      </c>
      <c r="E26" s="551"/>
      <c r="F26" s="551"/>
      <c r="G26" s="551"/>
      <c r="H26" s="551"/>
      <c r="I26" s="551"/>
      <c r="J26" s="551"/>
      <c r="K26" s="551"/>
      <c r="L26" s="551"/>
      <c r="M26" s="551"/>
      <c r="N26" s="551"/>
      <c r="O26" s="551"/>
      <c r="P26" s="551"/>
      <c r="Q26" s="551"/>
      <c r="R26" s="551"/>
      <c r="S26" s="551"/>
      <c r="T26" s="551"/>
      <c r="U26" s="551"/>
      <c r="V26" s="551"/>
      <c r="W26" s="551"/>
      <c r="X26" s="552"/>
      <c r="Y26" s="540"/>
    </row>
    <row r="27" spans="1:25" ht="15">
      <c r="A27" s="549"/>
      <c r="B27" s="553" t="s">
        <v>304</v>
      </c>
      <c r="C27" s="550">
        <f>IF(Entrada!K82="FACTOR GLOBAL",1,Entrada!J84)</f>
        <v>1</v>
      </c>
      <c r="D27" s="335">
        <f>'F5-SF'!D27*C27</f>
        <v>75569.76</v>
      </c>
      <c r="E27" s="554"/>
      <c r="F27" s="551"/>
      <c r="G27" s="551"/>
      <c r="H27" s="551"/>
      <c r="I27" s="551"/>
      <c r="J27" s="551"/>
      <c r="K27" s="551"/>
      <c r="L27" s="551"/>
      <c r="M27" s="551"/>
      <c r="N27" s="551"/>
      <c r="O27" s="551"/>
      <c r="P27" s="551"/>
      <c r="Q27" s="551"/>
      <c r="R27" s="551"/>
      <c r="S27" s="551"/>
      <c r="T27" s="551"/>
      <c r="U27" s="551"/>
      <c r="V27" s="551"/>
      <c r="W27" s="551"/>
      <c r="X27" s="552"/>
      <c r="Y27" s="540"/>
    </row>
    <row r="28" spans="1:25" ht="15">
      <c r="A28" s="549"/>
      <c r="B28" s="553" t="s">
        <v>305</v>
      </c>
      <c r="C28" s="550">
        <f>IF(Entrada!K82="FACTOR GLOBAL",1,Entrada!J83)</f>
        <v>0.49</v>
      </c>
      <c r="D28" s="335">
        <f>'F5-SF'!D28*C28</f>
        <v>0</v>
      </c>
      <c r="E28" s="554"/>
      <c r="F28" s="551"/>
      <c r="G28" s="551"/>
      <c r="H28" s="551"/>
      <c r="I28" s="551"/>
      <c r="J28" s="551"/>
      <c r="K28" s="551"/>
      <c r="L28" s="551"/>
      <c r="M28" s="551"/>
      <c r="N28" s="551"/>
      <c r="O28" s="551"/>
      <c r="P28" s="551"/>
      <c r="Q28" s="551"/>
      <c r="R28" s="551"/>
      <c r="S28" s="551"/>
      <c r="T28" s="551"/>
      <c r="U28" s="551"/>
      <c r="V28" s="551"/>
      <c r="W28" s="551"/>
      <c r="X28" s="552"/>
      <c r="Y28" s="540"/>
    </row>
    <row r="29" spans="1:25" ht="15">
      <c r="A29" s="546">
        <v>2.4</v>
      </c>
      <c r="B29" s="547" t="s">
        <v>134</v>
      </c>
      <c r="C29" s="550">
        <f>IF(Entrada!K82="FACTOR GLOBAL",1,igvf)</f>
        <v>0.8475</v>
      </c>
      <c r="D29" s="335">
        <f>'F5-SF'!D29*C29</f>
        <v>104359.6456875</v>
      </c>
      <c r="E29" s="551"/>
      <c r="F29" s="551"/>
      <c r="G29" s="551"/>
      <c r="H29" s="551"/>
      <c r="I29" s="551"/>
      <c r="J29" s="551"/>
      <c r="K29" s="551"/>
      <c r="L29" s="551"/>
      <c r="M29" s="551"/>
      <c r="N29" s="551"/>
      <c r="O29" s="551"/>
      <c r="P29" s="551"/>
      <c r="Q29" s="551"/>
      <c r="R29" s="551"/>
      <c r="S29" s="551"/>
      <c r="T29" s="551"/>
      <c r="U29" s="551"/>
      <c r="V29" s="551"/>
      <c r="W29" s="551"/>
      <c r="X29" s="552"/>
      <c r="Y29" s="540"/>
    </row>
    <row r="30" spans="1:25" ht="15">
      <c r="A30" s="549"/>
      <c r="B30" s="457"/>
      <c r="C30" s="550"/>
      <c r="D30" s="335"/>
      <c r="E30" s="551"/>
      <c r="F30" s="551"/>
      <c r="G30" s="551"/>
      <c r="H30" s="551"/>
      <c r="I30" s="551"/>
      <c r="J30" s="551"/>
      <c r="K30" s="551"/>
      <c r="L30" s="551"/>
      <c r="M30" s="551"/>
      <c r="N30" s="551"/>
      <c r="O30" s="551"/>
      <c r="P30" s="551"/>
      <c r="Q30" s="551"/>
      <c r="R30" s="551"/>
      <c r="S30" s="551"/>
      <c r="T30" s="551"/>
      <c r="U30" s="551"/>
      <c r="V30" s="551"/>
      <c r="W30" s="551"/>
      <c r="X30" s="552"/>
      <c r="Y30" s="540"/>
    </row>
    <row r="31" spans="1:25" ht="15">
      <c r="A31" s="546">
        <v>2.5</v>
      </c>
      <c r="B31" s="457" t="s">
        <v>133</v>
      </c>
      <c r="C31" s="550">
        <f>IF(Entrada!K82="FACTOR GLOBAL",1,igvf)</f>
        <v>0.8475</v>
      </c>
      <c r="D31" s="335">
        <f>'F5-SF'!D31*C31</f>
        <v>75738.34095313499</v>
      </c>
      <c r="E31" s="551"/>
      <c r="F31" s="551"/>
      <c r="G31" s="551"/>
      <c r="H31" s="551"/>
      <c r="I31" s="551"/>
      <c r="J31" s="551"/>
      <c r="K31" s="551"/>
      <c r="L31" s="551"/>
      <c r="M31" s="551"/>
      <c r="N31" s="551"/>
      <c r="O31" s="551"/>
      <c r="P31" s="551"/>
      <c r="Q31" s="551"/>
      <c r="R31" s="551"/>
      <c r="S31" s="551"/>
      <c r="T31" s="551"/>
      <c r="U31" s="551"/>
      <c r="V31" s="551"/>
      <c r="W31" s="551"/>
      <c r="X31" s="552"/>
      <c r="Y31" s="540"/>
    </row>
    <row r="32" spans="1:25" ht="15">
      <c r="A32" s="546">
        <v>2.6</v>
      </c>
      <c r="B32" s="457" t="s">
        <v>130</v>
      </c>
      <c r="C32" s="550"/>
      <c r="D32" s="335">
        <f>Entrada!J75*(D16+D23+D26+D29)</f>
        <v>85034.290485375</v>
      </c>
      <c r="E32" s="551"/>
      <c r="F32" s="551"/>
      <c r="G32" s="551"/>
      <c r="H32" s="551"/>
      <c r="I32" s="551"/>
      <c r="J32" s="551"/>
      <c r="K32" s="551"/>
      <c r="L32" s="551"/>
      <c r="M32" s="551"/>
      <c r="N32" s="551"/>
      <c r="O32" s="551"/>
      <c r="P32" s="551"/>
      <c r="Q32" s="551"/>
      <c r="R32" s="551"/>
      <c r="S32" s="551"/>
      <c r="T32" s="551"/>
      <c r="U32" s="551"/>
      <c r="V32" s="551"/>
      <c r="W32" s="551"/>
      <c r="X32" s="552"/>
      <c r="Y32" s="540"/>
    </row>
    <row r="33" spans="1:25" ht="15">
      <c r="A33" s="549"/>
      <c r="B33" s="457"/>
      <c r="C33" s="550"/>
      <c r="D33" s="335"/>
      <c r="E33" s="551"/>
      <c r="F33" s="551"/>
      <c r="G33" s="551"/>
      <c r="H33" s="551"/>
      <c r="I33" s="551"/>
      <c r="J33" s="551"/>
      <c r="K33" s="551"/>
      <c r="L33" s="551"/>
      <c r="M33" s="551"/>
      <c r="N33" s="551"/>
      <c r="O33" s="551"/>
      <c r="P33" s="551"/>
      <c r="Q33" s="551"/>
      <c r="R33" s="551"/>
      <c r="S33" s="551"/>
      <c r="T33" s="551"/>
      <c r="U33" s="551"/>
      <c r="V33" s="551"/>
      <c r="W33" s="551"/>
      <c r="X33" s="552"/>
      <c r="Y33" s="540"/>
    </row>
    <row r="34" spans="1:25" ht="15">
      <c r="A34" s="549">
        <v>3</v>
      </c>
      <c r="B34" s="547" t="s">
        <v>210</v>
      </c>
      <c r="C34" s="550"/>
      <c r="D34" s="335">
        <f>SUM(D35:D36)</f>
        <v>16011.3429</v>
      </c>
      <c r="E34" s="551"/>
      <c r="F34" s="551"/>
      <c r="G34" s="551"/>
      <c r="H34" s="551"/>
      <c r="I34" s="551"/>
      <c r="J34" s="551"/>
      <c r="K34" s="551"/>
      <c r="L34" s="551"/>
      <c r="M34" s="551"/>
      <c r="N34" s="551"/>
      <c r="O34" s="551"/>
      <c r="P34" s="551"/>
      <c r="Q34" s="551"/>
      <c r="R34" s="551"/>
      <c r="S34" s="551"/>
      <c r="T34" s="551"/>
      <c r="U34" s="551"/>
      <c r="V34" s="551"/>
      <c r="W34" s="551"/>
      <c r="X34" s="552"/>
      <c r="Y34" s="540"/>
    </row>
    <row r="35" spans="1:25" ht="15">
      <c r="A35" s="549">
        <v>3.1</v>
      </c>
      <c r="B35" s="457" t="s">
        <v>132</v>
      </c>
      <c r="C35" s="550">
        <f>IF(Entrada!K82="FACTOR GLOBAL",1,igvf)</f>
        <v>0.8475</v>
      </c>
      <c r="D35" s="335">
        <f>'F5-SF'!D35*C35</f>
        <v>16011.3429</v>
      </c>
      <c r="E35" s="551"/>
      <c r="F35" s="551"/>
      <c r="G35" s="551"/>
      <c r="H35" s="551"/>
      <c r="I35" s="551"/>
      <c r="J35" s="551"/>
      <c r="K35" s="551"/>
      <c r="L35" s="551"/>
      <c r="M35" s="551"/>
      <c r="N35" s="551"/>
      <c r="O35" s="551"/>
      <c r="P35" s="551"/>
      <c r="Q35" s="551"/>
      <c r="R35" s="551"/>
      <c r="S35" s="551"/>
      <c r="T35" s="551"/>
      <c r="U35" s="551"/>
      <c r="V35" s="551"/>
      <c r="W35" s="551"/>
      <c r="X35" s="552"/>
      <c r="Y35" s="540"/>
    </row>
    <row r="36" spans="1:25" ht="15">
      <c r="A36" s="549"/>
      <c r="B36" s="457" t="s">
        <v>381</v>
      </c>
      <c r="C36" s="550">
        <f>IF(Entrada!K82="FACTOR GLOBAL",1,igvf)</f>
        <v>0.8475</v>
      </c>
      <c r="D36" s="335">
        <f>'F5-SF'!D36*C36</f>
        <v>0</v>
      </c>
      <c r="E36" s="551"/>
      <c r="F36" s="551"/>
      <c r="G36" s="551"/>
      <c r="H36" s="551"/>
      <c r="I36" s="551"/>
      <c r="J36" s="551"/>
      <c r="K36" s="551"/>
      <c r="L36" s="551"/>
      <c r="M36" s="551"/>
      <c r="N36" s="551"/>
      <c r="O36" s="551"/>
      <c r="P36" s="551"/>
      <c r="Q36" s="551"/>
      <c r="R36" s="551"/>
      <c r="S36" s="551"/>
      <c r="T36" s="551"/>
      <c r="U36" s="551"/>
      <c r="V36" s="551"/>
      <c r="W36" s="551"/>
      <c r="X36" s="552"/>
      <c r="Y36" s="540"/>
    </row>
    <row r="37" spans="1:25" ht="8.25" customHeight="1">
      <c r="A37" s="549"/>
      <c r="B37" s="457"/>
      <c r="C37" s="550"/>
      <c r="D37" s="335"/>
      <c r="E37" s="551"/>
      <c r="F37" s="551"/>
      <c r="G37" s="551"/>
      <c r="H37" s="551"/>
      <c r="I37" s="551"/>
      <c r="J37" s="551"/>
      <c r="K37" s="551"/>
      <c r="L37" s="551"/>
      <c r="M37" s="551"/>
      <c r="N37" s="551"/>
      <c r="O37" s="551"/>
      <c r="P37" s="551"/>
      <c r="Q37" s="551"/>
      <c r="R37" s="551"/>
      <c r="S37" s="551"/>
      <c r="T37" s="551"/>
      <c r="U37" s="551"/>
      <c r="V37" s="551"/>
      <c r="W37" s="551"/>
      <c r="X37" s="552"/>
      <c r="Y37" s="540"/>
    </row>
    <row r="38" spans="1:25" ht="15" hidden="1">
      <c r="A38" s="549"/>
      <c r="B38" s="457"/>
      <c r="C38" s="457"/>
      <c r="D38" s="335"/>
      <c r="E38" s="551"/>
      <c r="F38" s="551"/>
      <c r="G38" s="551"/>
      <c r="H38" s="551"/>
      <c r="I38" s="551"/>
      <c r="J38" s="551"/>
      <c r="K38" s="551"/>
      <c r="L38" s="551"/>
      <c r="M38" s="551"/>
      <c r="N38" s="551"/>
      <c r="O38" s="551"/>
      <c r="P38" s="551"/>
      <c r="Q38" s="551"/>
      <c r="R38" s="551"/>
      <c r="S38" s="551"/>
      <c r="T38" s="551"/>
      <c r="U38" s="551"/>
      <c r="V38" s="551"/>
      <c r="W38" s="551"/>
      <c r="X38" s="552"/>
      <c r="Y38" s="540"/>
    </row>
    <row r="39" spans="1:25" ht="15" hidden="1">
      <c r="A39" s="549"/>
      <c r="B39" s="457"/>
      <c r="C39" s="457"/>
      <c r="D39" s="335"/>
      <c r="E39" s="551"/>
      <c r="F39" s="551"/>
      <c r="G39" s="551"/>
      <c r="H39" s="551"/>
      <c r="I39" s="551"/>
      <c r="J39" s="551"/>
      <c r="K39" s="551"/>
      <c r="L39" s="551"/>
      <c r="M39" s="551"/>
      <c r="N39" s="551"/>
      <c r="O39" s="551"/>
      <c r="P39" s="551"/>
      <c r="Q39" s="551"/>
      <c r="R39" s="551"/>
      <c r="S39" s="551"/>
      <c r="T39" s="551"/>
      <c r="U39" s="551"/>
      <c r="V39" s="551"/>
      <c r="W39" s="551"/>
      <c r="X39" s="552"/>
      <c r="Y39" s="540"/>
    </row>
    <row r="40" spans="1:25" ht="8.25" customHeight="1" hidden="1">
      <c r="A40" s="549"/>
      <c r="B40" s="457"/>
      <c r="C40" s="457"/>
      <c r="D40" s="335"/>
      <c r="E40" s="551"/>
      <c r="F40" s="551"/>
      <c r="G40" s="551"/>
      <c r="H40" s="551"/>
      <c r="I40" s="551"/>
      <c r="J40" s="551"/>
      <c r="K40" s="551"/>
      <c r="L40" s="551"/>
      <c r="M40" s="551"/>
      <c r="N40" s="551"/>
      <c r="O40" s="551"/>
      <c r="P40" s="551"/>
      <c r="Q40" s="551"/>
      <c r="R40" s="551"/>
      <c r="S40" s="551"/>
      <c r="T40" s="551"/>
      <c r="U40" s="551"/>
      <c r="V40" s="551"/>
      <c r="W40" s="551"/>
      <c r="X40" s="552"/>
      <c r="Y40" s="540"/>
    </row>
    <row r="41" spans="1:25" ht="15" hidden="1">
      <c r="A41" s="546"/>
      <c r="B41" s="547"/>
      <c r="C41" s="547">
        <v>0.8474576271186441</v>
      </c>
      <c r="D41" s="335"/>
      <c r="E41" s="551"/>
      <c r="F41" s="551"/>
      <c r="G41" s="551"/>
      <c r="H41" s="551"/>
      <c r="I41" s="551"/>
      <c r="J41" s="551"/>
      <c r="K41" s="551"/>
      <c r="L41" s="551"/>
      <c r="M41" s="551"/>
      <c r="N41" s="551"/>
      <c r="O41" s="551"/>
      <c r="P41" s="551"/>
      <c r="Q41" s="551"/>
      <c r="R41" s="551"/>
      <c r="S41" s="551"/>
      <c r="T41" s="551"/>
      <c r="U41" s="551"/>
      <c r="V41" s="551"/>
      <c r="W41" s="551"/>
      <c r="X41" s="552"/>
      <c r="Y41" s="540"/>
    </row>
    <row r="42" spans="1:25" ht="15" hidden="1">
      <c r="A42" s="549"/>
      <c r="B42" s="457"/>
      <c r="C42" s="457">
        <v>0.8474576271186441</v>
      </c>
      <c r="D42" s="335"/>
      <c r="E42" s="551"/>
      <c r="F42" s="551"/>
      <c r="G42" s="551"/>
      <c r="H42" s="551"/>
      <c r="I42" s="551"/>
      <c r="J42" s="551"/>
      <c r="K42" s="551"/>
      <c r="L42" s="551"/>
      <c r="M42" s="551"/>
      <c r="N42" s="555"/>
      <c r="O42" s="551"/>
      <c r="P42" s="551"/>
      <c r="Q42" s="551"/>
      <c r="R42" s="551"/>
      <c r="S42" s="551"/>
      <c r="T42" s="551"/>
      <c r="U42" s="551"/>
      <c r="V42" s="551"/>
      <c r="W42" s="551"/>
      <c r="X42" s="552"/>
      <c r="Y42" s="540"/>
    </row>
    <row r="43" spans="1:25" ht="15" hidden="1">
      <c r="A43" s="549"/>
      <c r="B43" s="457"/>
      <c r="C43" s="457"/>
      <c r="D43" s="335"/>
      <c r="E43" s="551"/>
      <c r="F43" s="551"/>
      <c r="G43" s="551"/>
      <c r="H43" s="551"/>
      <c r="I43" s="551"/>
      <c r="J43" s="551"/>
      <c r="K43" s="551"/>
      <c r="L43" s="551"/>
      <c r="M43" s="551"/>
      <c r="N43" s="555"/>
      <c r="O43" s="551"/>
      <c r="P43" s="551"/>
      <c r="Q43" s="551"/>
      <c r="R43" s="551"/>
      <c r="S43" s="551"/>
      <c r="T43" s="551"/>
      <c r="U43" s="551"/>
      <c r="V43" s="551"/>
      <c r="W43" s="551"/>
      <c r="X43" s="552"/>
      <c r="Y43" s="540"/>
    </row>
    <row r="44" spans="1:25" ht="9" customHeight="1" hidden="1">
      <c r="A44" s="556"/>
      <c r="B44" s="547"/>
      <c r="C44" s="547"/>
      <c r="D44" s="335"/>
      <c r="E44" s="551"/>
      <c r="F44" s="551"/>
      <c r="G44" s="551"/>
      <c r="H44" s="551"/>
      <c r="I44" s="551"/>
      <c r="J44" s="551"/>
      <c r="K44" s="551"/>
      <c r="L44" s="551"/>
      <c r="M44" s="551"/>
      <c r="N44" s="555"/>
      <c r="O44" s="551"/>
      <c r="P44" s="551"/>
      <c r="Q44" s="551"/>
      <c r="R44" s="551"/>
      <c r="S44" s="551"/>
      <c r="T44" s="551"/>
      <c r="U44" s="551"/>
      <c r="V44" s="551"/>
      <c r="W44" s="551"/>
      <c r="X44" s="552"/>
      <c r="Y44" s="540"/>
    </row>
    <row r="45" spans="1:25" ht="15">
      <c r="A45" s="556"/>
      <c r="B45" s="547" t="s">
        <v>64</v>
      </c>
      <c r="C45" s="547"/>
      <c r="D45" s="335"/>
      <c r="E45" s="551"/>
      <c r="F45" s="551"/>
      <c r="G45" s="551"/>
      <c r="H45" s="551"/>
      <c r="I45" s="551"/>
      <c r="J45" s="551"/>
      <c r="K45" s="551"/>
      <c r="L45" s="551"/>
      <c r="M45" s="551"/>
      <c r="N45" s="551"/>
      <c r="O45" s="551"/>
      <c r="P45" s="551"/>
      <c r="Q45" s="551"/>
      <c r="R45" s="551"/>
      <c r="S45" s="551"/>
      <c r="T45" s="551"/>
      <c r="U45" s="551"/>
      <c r="V45" s="551"/>
      <c r="W45" s="551"/>
      <c r="X45" s="552"/>
      <c r="Y45" s="540"/>
    </row>
    <row r="46" spans="1:25" ht="8.25" customHeight="1">
      <c r="A46" s="556"/>
      <c r="B46" s="457"/>
      <c r="C46" s="457"/>
      <c r="D46" s="551"/>
      <c r="E46" s="551"/>
      <c r="F46" s="551"/>
      <c r="G46" s="551"/>
      <c r="H46" s="551"/>
      <c r="I46" s="551"/>
      <c r="J46" s="551"/>
      <c r="K46" s="551"/>
      <c r="L46" s="551"/>
      <c r="M46" s="551"/>
      <c r="N46" s="551"/>
      <c r="O46" s="551"/>
      <c r="P46" s="551"/>
      <c r="Q46" s="551"/>
      <c r="R46" s="551"/>
      <c r="S46" s="551"/>
      <c r="T46" s="551"/>
      <c r="U46" s="551"/>
      <c r="V46" s="551"/>
      <c r="W46" s="551"/>
      <c r="X46" s="552"/>
      <c r="Y46" s="540"/>
    </row>
    <row r="47" spans="1:25" ht="15">
      <c r="A47" s="557"/>
      <c r="B47" s="354" t="s">
        <v>143</v>
      </c>
      <c r="C47" s="354"/>
      <c r="D47" s="558">
        <f>+D9+D14+D34</f>
        <v>1893481.12694601</v>
      </c>
      <c r="E47" s="558"/>
      <c r="F47" s="558"/>
      <c r="G47" s="558"/>
      <c r="H47" s="558"/>
      <c r="I47" s="558"/>
      <c r="J47" s="558"/>
      <c r="K47" s="558"/>
      <c r="L47" s="558"/>
      <c r="M47" s="558"/>
      <c r="N47" s="558"/>
      <c r="O47" s="558"/>
      <c r="P47" s="558"/>
      <c r="Q47" s="558"/>
      <c r="R47" s="558"/>
      <c r="S47" s="558"/>
      <c r="T47" s="558"/>
      <c r="U47" s="558"/>
      <c r="V47" s="558"/>
      <c r="W47" s="558"/>
      <c r="X47" s="559"/>
      <c r="Y47" s="540"/>
    </row>
    <row r="48" spans="1:25" ht="6" customHeight="1">
      <c r="A48" s="560"/>
      <c r="B48" s="547"/>
      <c r="C48" s="547"/>
      <c r="D48" s="232"/>
      <c r="E48" s="232"/>
      <c r="F48" s="232"/>
      <c r="G48" s="232"/>
      <c r="H48" s="232"/>
      <c r="I48" s="232"/>
      <c r="J48" s="232"/>
      <c r="K48" s="232"/>
      <c r="L48" s="232"/>
      <c r="M48" s="232"/>
      <c r="N48" s="232"/>
      <c r="O48" s="232"/>
      <c r="P48" s="232"/>
      <c r="Q48" s="232"/>
      <c r="R48" s="232"/>
      <c r="S48" s="232"/>
      <c r="T48" s="232"/>
      <c r="U48" s="232"/>
      <c r="V48" s="232"/>
      <c r="W48" s="232"/>
      <c r="X48" s="548"/>
      <c r="Y48" s="540"/>
    </row>
    <row r="49" spans="1:25" ht="15">
      <c r="A49" s="556"/>
      <c r="B49" s="547" t="s">
        <v>147</v>
      </c>
      <c r="C49" s="561">
        <f>IF(Entrada!K82="FACTOR GLOBAL",0.8309,"")</f>
      </c>
      <c r="D49" s="562"/>
      <c r="E49" s="551"/>
      <c r="F49" s="551"/>
      <c r="G49" s="551"/>
      <c r="H49" s="551"/>
      <c r="I49" s="551"/>
      <c r="J49" s="551"/>
      <c r="K49" s="551"/>
      <c r="L49" s="551"/>
      <c r="M49" s="551"/>
      <c r="N49" s="551"/>
      <c r="O49" s="551"/>
      <c r="P49" s="551"/>
      <c r="Q49" s="551"/>
      <c r="R49" s="551"/>
      <c r="S49" s="551"/>
      <c r="T49" s="551"/>
      <c r="U49" s="551"/>
      <c r="V49" s="551"/>
      <c r="W49" s="551"/>
      <c r="X49" s="552"/>
      <c r="Y49" s="540"/>
    </row>
    <row r="50" spans="1:25" ht="15">
      <c r="A50" s="556"/>
      <c r="B50" s="547" t="s">
        <v>435</v>
      </c>
      <c r="C50" s="563">
        <f>IF(SEL="Sistema Convencional",,'F5-SF'!C49)</f>
        <v>3</v>
      </c>
      <c r="D50" s="562"/>
      <c r="E50" s="551"/>
      <c r="F50" s="551"/>
      <c r="G50" s="551"/>
      <c r="H50" s="551"/>
      <c r="I50" s="551"/>
      <c r="J50" s="551"/>
      <c r="K50" s="551"/>
      <c r="L50" s="551"/>
      <c r="M50" s="551"/>
      <c r="N50" s="551"/>
      <c r="O50" s="551"/>
      <c r="P50" s="551"/>
      <c r="Q50" s="551"/>
      <c r="R50" s="551"/>
      <c r="S50" s="551"/>
      <c r="T50" s="551"/>
      <c r="U50" s="551"/>
      <c r="V50" s="551"/>
      <c r="W50" s="551"/>
      <c r="X50" s="552"/>
      <c r="Y50" s="540"/>
    </row>
    <row r="51" spans="1:25" ht="8.25" customHeight="1">
      <c r="A51" s="556"/>
      <c r="B51" s="457"/>
      <c r="C51" s="457"/>
      <c r="D51" s="551"/>
      <c r="E51" s="551"/>
      <c r="F51" s="551"/>
      <c r="G51" s="551"/>
      <c r="H51" s="551"/>
      <c r="I51" s="551"/>
      <c r="J51" s="551"/>
      <c r="K51" s="551"/>
      <c r="L51" s="551"/>
      <c r="M51" s="551"/>
      <c r="N51" s="551"/>
      <c r="O51" s="551"/>
      <c r="P51" s="551"/>
      <c r="Q51" s="551"/>
      <c r="R51" s="551"/>
      <c r="S51" s="551"/>
      <c r="T51" s="551"/>
      <c r="U51" s="551"/>
      <c r="V51" s="551"/>
      <c r="W51" s="551"/>
      <c r="X51" s="552"/>
      <c r="Y51" s="540"/>
    </row>
    <row r="52" spans="1:25" ht="15">
      <c r="A52" s="557"/>
      <c r="B52" s="564" t="s">
        <v>439</v>
      </c>
      <c r="C52" s="564"/>
      <c r="D52" s="565">
        <f>G76*D47*sensInver</f>
        <v>1893481.12694601</v>
      </c>
      <c r="E52" s="558"/>
      <c r="F52" s="558"/>
      <c r="G52" s="558"/>
      <c r="H52" s="558"/>
      <c r="I52" s="558"/>
      <c r="J52" s="558"/>
      <c r="K52" s="558"/>
      <c r="L52" s="558"/>
      <c r="M52" s="558"/>
      <c r="N52" s="558"/>
      <c r="O52" s="558"/>
      <c r="P52" s="558"/>
      <c r="Q52" s="558"/>
      <c r="R52" s="558"/>
      <c r="S52" s="558"/>
      <c r="T52" s="558"/>
      <c r="U52" s="558"/>
      <c r="V52" s="558"/>
      <c r="W52" s="558"/>
      <c r="X52" s="559">
        <f>(SUM(X38:X45)+X11)</f>
        <v>0</v>
      </c>
      <c r="Y52" s="540"/>
    </row>
    <row r="53" spans="1:25" ht="15">
      <c r="A53" s="566"/>
      <c r="B53" s="543" t="s">
        <v>437</v>
      </c>
      <c r="C53" s="543"/>
      <c r="D53" s="567">
        <f>D52*C50</f>
        <v>5680443.38083803</v>
      </c>
      <c r="E53" s="567"/>
      <c r="F53" s="567"/>
      <c r="G53" s="567"/>
      <c r="H53" s="567"/>
      <c r="I53" s="567"/>
      <c r="J53" s="567"/>
      <c r="K53" s="567"/>
      <c r="L53" s="567"/>
      <c r="M53" s="567"/>
      <c r="N53" s="567"/>
      <c r="O53" s="567"/>
      <c r="P53" s="567"/>
      <c r="Q53" s="567"/>
      <c r="R53" s="567"/>
      <c r="S53" s="567"/>
      <c r="T53" s="567"/>
      <c r="U53" s="567"/>
      <c r="V53" s="567"/>
      <c r="W53" s="567"/>
      <c r="X53" s="568"/>
      <c r="Y53" s="540"/>
    </row>
    <row r="54" spans="1:25" ht="26.25">
      <c r="A54" s="569" t="s">
        <v>1</v>
      </c>
      <c r="B54" s="570" t="s">
        <v>141</v>
      </c>
      <c r="C54" s="570"/>
      <c r="D54" s="567"/>
      <c r="E54" s="567"/>
      <c r="F54" s="567"/>
      <c r="G54" s="567"/>
      <c r="H54" s="567"/>
      <c r="I54" s="567"/>
      <c r="J54" s="567"/>
      <c r="K54" s="567"/>
      <c r="L54" s="567"/>
      <c r="M54" s="567"/>
      <c r="N54" s="567"/>
      <c r="O54" s="567"/>
      <c r="P54" s="567"/>
      <c r="Q54" s="567"/>
      <c r="R54" s="567"/>
      <c r="S54" s="567"/>
      <c r="T54" s="567"/>
      <c r="U54" s="567"/>
      <c r="V54" s="567"/>
      <c r="W54" s="567"/>
      <c r="X54" s="568"/>
      <c r="Y54" s="540"/>
    </row>
    <row r="55" spans="1:25" ht="15">
      <c r="A55" s="556"/>
      <c r="B55" s="457" t="s">
        <v>356</v>
      </c>
      <c r="C55" s="457"/>
      <c r="D55" s="551"/>
      <c r="E55" s="551"/>
      <c r="F55" s="551"/>
      <c r="G55" s="551"/>
      <c r="H55" s="551"/>
      <c r="I55" s="551"/>
      <c r="J55" s="551"/>
      <c r="K55" s="551"/>
      <c r="L55" s="551"/>
      <c r="M55" s="551"/>
      <c r="N55" s="551"/>
      <c r="O55" s="551"/>
      <c r="P55" s="551"/>
      <c r="Q55" s="551"/>
      <c r="R55" s="551"/>
      <c r="S55" s="551"/>
      <c r="T55" s="551"/>
      <c r="U55" s="551"/>
      <c r="V55" s="551"/>
      <c r="W55" s="551"/>
      <c r="X55" s="552"/>
      <c r="Y55" s="540"/>
    </row>
    <row r="56" spans="1:25" ht="15">
      <c r="A56" s="556"/>
      <c r="B56" s="553" t="s">
        <v>357</v>
      </c>
      <c r="C56" s="550">
        <f>IF(D47&lt;&gt;0,0.8475,0)</f>
        <v>0.8475</v>
      </c>
      <c r="D56" s="551"/>
      <c r="E56" s="551">
        <f>IF(IF(Entrada!$J$92&lt;20,CEILING(E6,Entrada!$J$92),0)=E6,$D$18*FNP,0)*$C$56*SenPcom</f>
        <v>0</v>
      </c>
      <c r="F56" s="551">
        <f>IF(IF(Entrada!$J$92&lt;20,CEILING(F6,Entrada!$J$92),0)=F6,$D$18*FNP,0)*$C$56*SenPcom</f>
        <v>0</v>
      </c>
      <c r="G56" s="551">
        <f>IF(IF(Entrada!$J$92&lt;20,CEILING(G6,Entrada!$J$92),0)=G6,$D$18*FNP,0)*$C$56*SenPcom</f>
        <v>0</v>
      </c>
      <c r="H56" s="551">
        <f>IF(IF(Entrada!$J$92&lt;20,CEILING(H6,Entrada!$J$92),0)=H6,$D$18*FNP,0)*$C$56*SenPcom</f>
        <v>1344952.8036</v>
      </c>
      <c r="I56" s="551">
        <f>IF(IF(Entrada!$J$92&lt;20,CEILING(I6,Entrada!$J$92),0)=I6,$D$18*FNP,0)*$C$56*SenPcom</f>
        <v>0</v>
      </c>
      <c r="J56" s="551">
        <f>IF(IF(Entrada!$J$92&lt;20,CEILING(J6,Entrada!$J$92),0)=J6,$D$18*FNP,0)*$C$56*SenPcom</f>
        <v>0</v>
      </c>
      <c r="K56" s="551">
        <f>IF(IF(Entrada!$J$92&lt;20,CEILING(K6,Entrada!$J$92),0)=K6,$D$18*FNP,0)*$C$56*SenPcom</f>
        <v>0</v>
      </c>
      <c r="L56" s="551">
        <f>IF(IF(Entrada!$J$92&lt;20,CEILING(L6,Entrada!$J$92),0)=L6,$D$18*FNP,0)*$C$56*SenPcom</f>
        <v>1344952.8036</v>
      </c>
      <c r="M56" s="551">
        <f>IF(IF(Entrada!$J$92&lt;20,CEILING(M6,Entrada!$J$92),0)=M6,$D$18*FNP,0)*$C$56*SenPcom</f>
        <v>0</v>
      </c>
      <c r="N56" s="551">
        <f>IF(IF(Entrada!$J$92&lt;20,CEILING(N6,Entrada!$J$92),0)=N6,$D$18*FNP,0)*$C$56*SenPcom</f>
        <v>0</v>
      </c>
      <c r="O56" s="551">
        <f>IF(IF(Entrada!$J$92&lt;20,CEILING(O6,Entrada!$J$92),0)=O6,$D$18*FNP,0)*$C$56*SenPcom</f>
        <v>0</v>
      </c>
      <c r="P56" s="551">
        <f>IF(IF(Entrada!$J$92&lt;20,CEILING(P6,Entrada!$J$92),0)=P6,$D$18*FNP,0)*$C$56*SenPcom</f>
        <v>1344952.8036</v>
      </c>
      <c r="Q56" s="551">
        <f>IF(IF(Entrada!$J$92&lt;20,CEILING(Q6,Entrada!$J$92),0)=Q6,$D$18*FNP,0)*$C$56*SenPcom</f>
        <v>0</v>
      </c>
      <c r="R56" s="551">
        <f>IF(IF(Entrada!$J$92&lt;20,CEILING(R6,Entrada!$J$92),0)=R6,$D$18*FNP,0)*$C$56*SenPcom</f>
        <v>0</v>
      </c>
      <c r="S56" s="551">
        <f>IF(IF(Entrada!$J$92&lt;20,CEILING(S6,Entrada!$J$92),0)=S6,$D$18*FNP,0)*$C$56*SenPcom</f>
        <v>0</v>
      </c>
      <c r="T56" s="551">
        <f>IF(IF(Entrada!$J$92&lt;20,CEILING(T6,Entrada!$J$92),0)=T6,$D$18*FNP,0)*$C$56*SenPcom</f>
        <v>1344952.8036</v>
      </c>
      <c r="U56" s="551">
        <f>IF(IF(Entrada!$J$92&lt;20,CEILING(U6,Entrada!$J$92),0)=U6,$D$18*FNP,0)*$C$56*SenPcom</f>
        <v>0</v>
      </c>
      <c r="V56" s="551">
        <f>IF(IF(Entrada!$J$92&lt;20,CEILING(V6,Entrada!$J$92),0)=V6,$D$18*FNP,0)*$C$56*SenPcom</f>
        <v>0</v>
      </c>
      <c r="W56" s="551">
        <f>IF(IF(Entrada!$J$92&lt;20,CEILING(W6,Entrada!$J$92),0)=W6,$D$18*FNP,0)*$C$56*SenPcom</f>
        <v>0</v>
      </c>
      <c r="X56" s="552">
        <f>IF(IF(Entrada!$J$92&lt;20,CEILING(X6,Entrada!$J$92),0)=X6,$D$18*FNP,0)*$C$56*SenPcom</f>
        <v>1344952.8036</v>
      </c>
      <c r="Y56" s="540"/>
    </row>
    <row r="57" spans="1:25" ht="15">
      <c r="A57" s="556"/>
      <c r="B57" s="553" t="s">
        <v>299</v>
      </c>
      <c r="C57" s="550">
        <f>IF(D47&lt;&gt;0,0.8475,0)</f>
        <v>0.8475</v>
      </c>
      <c r="D57" s="551"/>
      <c r="E57" s="551">
        <f>IF(IF(Entrada!$J$91&lt;20,CEILING(E6,Entrada!$J$91),0)=E6,$D$19*FNP,0)*$C$57</f>
        <v>0</v>
      </c>
      <c r="F57" s="551">
        <f>IF(IF(Entrada!$J$91&lt;20,CEILING(F6,Entrada!$J$91),0)=F6,$D$19*FNP,0)*$C$57</f>
        <v>0</v>
      </c>
      <c r="G57" s="551">
        <f>IF(IF(Entrada!$J$91&lt;20,CEILING(G6,Entrada!$J$91),0)=G6,$D$19*FNP,0)*$C$57</f>
        <v>0</v>
      </c>
      <c r="H57" s="551">
        <f>IF(IF(Entrada!$J$91&lt;20,CEILING(H6,Entrada!$J$91),0)=H6,$D$19*FNP,0)*$C$57</f>
        <v>0</v>
      </c>
      <c r="I57" s="551">
        <f>IF(IF(Entrada!$J$91&lt;20,CEILING(I6,Entrada!$J$91),0)=I6,$D$19*FNP,0)*$C$57</f>
        <v>0</v>
      </c>
      <c r="J57" s="551">
        <f>IF(IF(Entrada!$J$91&lt;20,CEILING(J6,Entrada!$J$91),0)=J6,$D$19*FNP,0)*$C$57</f>
        <v>0</v>
      </c>
      <c r="K57" s="551">
        <f>IF(IF(Entrada!$J$91&lt;20,CEILING(K6,Entrada!$J$91),0)=K6,$D$19*FNP,0)*$C$57</f>
        <v>0</v>
      </c>
      <c r="L57" s="551">
        <f>IF(IF(Entrada!$J$91&lt;20,CEILING(L6,Entrada!$J$91),0)=L6,$D$19*FNP,0)*$C$57</f>
        <v>0</v>
      </c>
      <c r="M57" s="551">
        <f>IF(IF(Entrada!$J$91&lt;20,CEILING(M6,Entrada!$J$91),0)=M6,$D$19*FNP,0)*$C$57</f>
        <v>0</v>
      </c>
      <c r="N57" s="551">
        <f>IF(IF(Entrada!$J$91&lt;20,CEILING(N6,Entrada!$J$91),0)=N6,$D$19*FNP,0)*$C$57</f>
        <v>240170.14349999998</v>
      </c>
      <c r="O57" s="551">
        <f>IF(IF(Entrada!$J$91&lt;20,CEILING(O6,Entrada!$J$91),0)=O6,$D$19*FNP,0)*$C$57</f>
        <v>0</v>
      </c>
      <c r="P57" s="551">
        <f>IF(IF(Entrada!$J$91&lt;20,CEILING(P6,Entrada!$J$91),0)=P6,$D$19*FNP,0)*$C$57</f>
        <v>0</v>
      </c>
      <c r="Q57" s="551">
        <f>IF(IF(Entrada!$J$91&lt;20,CEILING(Q6,Entrada!$J$91),0)=Q6,$D$19*FNP,0)*$C$57</f>
        <v>0</v>
      </c>
      <c r="R57" s="551">
        <f>IF(IF(Entrada!$J$91&lt;20,CEILING(R6,Entrada!$J$91),0)=R6,$D$19*FNP,0)*$C$57</f>
        <v>0</v>
      </c>
      <c r="S57" s="551">
        <f>IF(IF(Entrada!$J$91&lt;20,CEILING(S6,Entrada!$J$91),0)=S6,$D$19*FNP,0)*$C$57</f>
        <v>0</v>
      </c>
      <c r="T57" s="551">
        <f>IF(IF(Entrada!$J$91&lt;20,CEILING(T6,Entrada!$J$91),0)=T6,$D$19*FNP,0)*$C$57</f>
        <v>0</v>
      </c>
      <c r="U57" s="551">
        <f>IF(IF(Entrada!$J$91&lt;20,CEILING(U6,Entrada!$J$91),0)=U6,$D$19*FNP,0)*$C$57</f>
        <v>0</v>
      </c>
      <c r="V57" s="551">
        <f>IF(IF(Entrada!$J$91&lt;20,CEILING(V6,Entrada!$J$91),0)=V6,$D$19*FNP,0)*$C$57</f>
        <v>0</v>
      </c>
      <c r="W57" s="551">
        <f>IF(IF(Entrada!$J$91&lt;20,CEILING(W6,Entrada!$J$91),0)=W6,$D$19*FNP,0)*$C$57</f>
        <v>0</v>
      </c>
      <c r="X57" s="552">
        <f>IF(IF(Entrada!$J$91&lt;20,CEILING(X6,Entrada!$J$91),0)=X6,$D$19*FNP,0)*$C$57</f>
        <v>240170.14349999998</v>
      </c>
      <c r="Y57" s="540"/>
    </row>
    <row r="58" spans="1:25" ht="15">
      <c r="A58" s="556"/>
      <c r="B58" s="553" t="s">
        <v>436</v>
      </c>
      <c r="C58" s="550">
        <f>IF(D47&lt;&gt;0,0.8475,0)</f>
        <v>0.8475</v>
      </c>
      <c r="D58" s="551"/>
      <c r="E58" s="551"/>
      <c r="F58" s="551"/>
      <c r="G58" s="551"/>
      <c r="H58" s="551"/>
      <c r="I58" s="551"/>
      <c r="J58" s="551"/>
      <c r="K58" s="551"/>
      <c r="L58" s="551"/>
      <c r="M58" s="551"/>
      <c r="N58" s="551"/>
      <c r="O58" s="551"/>
      <c r="P58" s="551"/>
      <c r="Q58" s="551"/>
      <c r="R58" s="551"/>
      <c r="S58" s="551"/>
      <c r="T58" s="551"/>
      <c r="U58" s="551"/>
      <c r="V58" s="551"/>
      <c r="W58" s="551"/>
      <c r="X58" s="552"/>
      <c r="Y58" s="540"/>
    </row>
    <row r="59" spans="1:25" ht="15">
      <c r="A59" s="556"/>
      <c r="B59" s="457" t="s">
        <v>6</v>
      </c>
      <c r="C59" s="550">
        <f>IF(D47&lt;&gt;0,0.8475,0)</f>
        <v>0.8475</v>
      </c>
      <c r="D59" s="551"/>
      <c r="E59" s="551">
        <f>D14*FNP*CoymF*senCoym*$C$59</f>
        <v>94655.1617322746</v>
      </c>
      <c r="F59" s="551">
        <f>+E59</f>
        <v>94655.1617322746</v>
      </c>
      <c r="G59" s="551">
        <f aca="true" t="shared" si="1" ref="G59:X59">+F59</f>
        <v>94655.1617322746</v>
      </c>
      <c r="H59" s="551">
        <f t="shared" si="1"/>
        <v>94655.1617322746</v>
      </c>
      <c r="I59" s="551">
        <f t="shared" si="1"/>
        <v>94655.1617322746</v>
      </c>
      <c r="J59" s="551">
        <f t="shared" si="1"/>
        <v>94655.1617322746</v>
      </c>
      <c r="K59" s="551">
        <f t="shared" si="1"/>
        <v>94655.1617322746</v>
      </c>
      <c r="L59" s="551">
        <f t="shared" si="1"/>
        <v>94655.1617322746</v>
      </c>
      <c r="M59" s="551">
        <f t="shared" si="1"/>
        <v>94655.1617322746</v>
      </c>
      <c r="N59" s="551">
        <f t="shared" si="1"/>
        <v>94655.1617322746</v>
      </c>
      <c r="O59" s="551">
        <f t="shared" si="1"/>
        <v>94655.1617322746</v>
      </c>
      <c r="P59" s="551">
        <f t="shared" si="1"/>
        <v>94655.1617322746</v>
      </c>
      <c r="Q59" s="551">
        <f t="shared" si="1"/>
        <v>94655.1617322746</v>
      </c>
      <c r="R59" s="551">
        <f t="shared" si="1"/>
        <v>94655.1617322746</v>
      </c>
      <c r="S59" s="551">
        <f t="shared" si="1"/>
        <v>94655.1617322746</v>
      </c>
      <c r="T59" s="551">
        <f t="shared" si="1"/>
        <v>94655.1617322746</v>
      </c>
      <c r="U59" s="551">
        <f t="shared" si="1"/>
        <v>94655.1617322746</v>
      </c>
      <c r="V59" s="551">
        <f t="shared" si="1"/>
        <v>94655.1617322746</v>
      </c>
      <c r="W59" s="551">
        <f t="shared" si="1"/>
        <v>94655.1617322746</v>
      </c>
      <c r="X59" s="552">
        <f t="shared" si="1"/>
        <v>94655.1617322746</v>
      </c>
      <c r="Y59" s="540"/>
    </row>
    <row r="60" spans="1:25" ht="15">
      <c r="A60" s="556"/>
      <c r="B60" s="457"/>
      <c r="C60" s="457"/>
      <c r="D60" s="551"/>
      <c r="E60" s="551"/>
      <c r="F60" s="551"/>
      <c r="G60" s="551"/>
      <c r="H60" s="551"/>
      <c r="I60" s="551"/>
      <c r="J60" s="551"/>
      <c r="K60" s="551"/>
      <c r="L60" s="551"/>
      <c r="M60" s="551"/>
      <c r="N60" s="551"/>
      <c r="O60" s="551"/>
      <c r="P60" s="551"/>
      <c r="Q60" s="551"/>
      <c r="R60" s="551"/>
      <c r="S60" s="551"/>
      <c r="T60" s="551"/>
      <c r="U60" s="551"/>
      <c r="V60" s="551"/>
      <c r="W60" s="551"/>
      <c r="X60" s="552"/>
      <c r="Y60" s="540"/>
    </row>
    <row r="61" spans="1:25" ht="15">
      <c r="A61" s="571"/>
      <c r="B61" s="354" t="s">
        <v>144</v>
      </c>
      <c r="C61" s="354"/>
      <c r="D61" s="572"/>
      <c r="E61" s="572">
        <f>SUM(E55:E60)</f>
        <v>94655.1617322746</v>
      </c>
      <c r="F61" s="572">
        <f aca="true" t="shared" si="2" ref="F61:X61">SUM(F55:F60)</f>
        <v>94655.1617322746</v>
      </c>
      <c r="G61" s="572">
        <f t="shared" si="2"/>
        <v>94655.1617322746</v>
      </c>
      <c r="H61" s="572">
        <f>SUM(H55:H60)</f>
        <v>1439607.9653322746</v>
      </c>
      <c r="I61" s="572">
        <f t="shared" si="2"/>
        <v>94655.1617322746</v>
      </c>
      <c r="J61" s="572">
        <f t="shared" si="2"/>
        <v>94655.1617322746</v>
      </c>
      <c r="K61" s="572">
        <f t="shared" si="2"/>
        <v>94655.1617322746</v>
      </c>
      <c r="L61" s="572">
        <f>SUM(L55:L60)</f>
        <v>1439607.9653322746</v>
      </c>
      <c r="M61" s="572">
        <f t="shared" si="2"/>
        <v>94655.1617322746</v>
      </c>
      <c r="N61" s="572">
        <f>SUM(N55:N60)</f>
        <v>334825.3052322746</v>
      </c>
      <c r="O61" s="572">
        <f t="shared" si="2"/>
        <v>94655.1617322746</v>
      </c>
      <c r="P61" s="572">
        <f t="shared" si="2"/>
        <v>1439607.9653322746</v>
      </c>
      <c r="Q61" s="572">
        <f t="shared" si="2"/>
        <v>94655.1617322746</v>
      </c>
      <c r="R61" s="572">
        <f t="shared" si="2"/>
        <v>94655.1617322746</v>
      </c>
      <c r="S61" s="572">
        <f t="shared" si="2"/>
        <v>94655.1617322746</v>
      </c>
      <c r="T61" s="572">
        <f t="shared" si="2"/>
        <v>1439607.9653322746</v>
      </c>
      <c r="U61" s="572">
        <f t="shared" si="2"/>
        <v>94655.1617322746</v>
      </c>
      <c r="V61" s="572">
        <f t="shared" si="2"/>
        <v>94655.1617322746</v>
      </c>
      <c r="W61" s="572">
        <f t="shared" si="2"/>
        <v>94655.1617322746</v>
      </c>
      <c r="X61" s="573">
        <f t="shared" si="2"/>
        <v>1679778.1088322746</v>
      </c>
      <c r="Y61" s="540"/>
    </row>
    <row r="62" spans="1:25" ht="26.25">
      <c r="A62" s="569" t="s">
        <v>8</v>
      </c>
      <c r="B62" s="570" t="s">
        <v>142</v>
      </c>
      <c r="C62" s="570"/>
      <c r="D62" s="567"/>
      <c r="E62" s="544"/>
      <c r="F62" s="544"/>
      <c r="G62" s="544"/>
      <c r="H62" s="544"/>
      <c r="I62" s="544"/>
      <c r="J62" s="544"/>
      <c r="K62" s="544"/>
      <c r="L62" s="544"/>
      <c r="M62" s="544"/>
      <c r="N62" s="544"/>
      <c r="O62" s="544"/>
      <c r="P62" s="544"/>
      <c r="Q62" s="544"/>
      <c r="R62" s="544"/>
      <c r="S62" s="544"/>
      <c r="T62" s="544"/>
      <c r="U62" s="544"/>
      <c r="V62" s="544"/>
      <c r="W62" s="544"/>
      <c r="X62" s="545"/>
      <c r="Y62" s="540"/>
    </row>
    <row r="63" spans="1:25" ht="15">
      <c r="A63" s="574"/>
      <c r="B63" s="457" t="s">
        <v>40</v>
      </c>
      <c r="C63" s="457"/>
      <c r="D63" s="232"/>
      <c r="E63" s="551"/>
      <c r="F63" s="551"/>
      <c r="G63" s="551"/>
      <c r="H63" s="551"/>
      <c r="I63" s="551"/>
      <c r="J63" s="551"/>
      <c r="K63" s="551"/>
      <c r="L63" s="551"/>
      <c r="M63" s="551"/>
      <c r="N63" s="551"/>
      <c r="O63" s="551"/>
      <c r="P63" s="551"/>
      <c r="Q63" s="551"/>
      <c r="R63" s="551"/>
      <c r="S63" s="551"/>
      <c r="T63" s="551"/>
      <c r="U63" s="551"/>
      <c r="V63" s="551"/>
      <c r="W63" s="551"/>
      <c r="X63" s="552"/>
      <c r="Y63" s="540"/>
    </row>
    <row r="64" spans="1:25" ht="15">
      <c r="A64" s="574"/>
      <c r="B64" s="457" t="s">
        <v>6</v>
      </c>
      <c r="C64" s="457"/>
      <c r="D64" s="232"/>
      <c r="E64" s="551"/>
      <c r="F64" s="551"/>
      <c r="G64" s="551"/>
      <c r="H64" s="551"/>
      <c r="I64" s="551"/>
      <c r="J64" s="551"/>
      <c r="K64" s="551"/>
      <c r="L64" s="551"/>
      <c r="M64" s="551"/>
      <c r="N64" s="551"/>
      <c r="O64" s="551"/>
      <c r="P64" s="551"/>
      <c r="Q64" s="551"/>
      <c r="R64" s="551"/>
      <c r="S64" s="551"/>
      <c r="T64" s="551"/>
      <c r="U64" s="551"/>
      <c r="V64" s="551"/>
      <c r="W64" s="551"/>
      <c r="X64" s="552"/>
      <c r="Y64" s="540"/>
    </row>
    <row r="65" spans="1:25" ht="15">
      <c r="A65" s="556"/>
      <c r="B65" s="457" t="s">
        <v>7</v>
      </c>
      <c r="C65" s="457"/>
      <c r="D65" s="551"/>
      <c r="E65" s="551"/>
      <c r="F65" s="551"/>
      <c r="G65" s="551"/>
      <c r="H65" s="551"/>
      <c r="I65" s="551"/>
      <c r="J65" s="551"/>
      <c r="K65" s="551"/>
      <c r="L65" s="551"/>
      <c r="M65" s="551"/>
      <c r="N65" s="551"/>
      <c r="O65" s="551"/>
      <c r="P65" s="551"/>
      <c r="Q65" s="551"/>
      <c r="R65" s="551"/>
      <c r="S65" s="551"/>
      <c r="T65" s="551"/>
      <c r="U65" s="551"/>
      <c r="V65" s="551"/>
      <c r="W65" s="551"/>
      <c r="X65" s="552"/>
      <c r="Y65" s="540"/>
    </row>
    <row r="66" spans="1:25" ht="15">
      <c r="A66" s="556"/>
      <c r="B66" s="354" t="s">
        <v>144</v>
      </c>
      <c r="C66" s="354"/>
      <c r="D66" s="572"/>
      <c r="E66" s="572">
        <f>SUM(E63:E65)</f>
        <v>0</v>
      </c>
      <c r="F66" s="572">
        <f aca="true" t="shared" si="3" ref="F66:X66">SUM(F63:F65)</f>
        <v>0</v>
      </c>
      <c r="G66" s="572">
        <f t="shared" si="3"/>
        <v>0</v>
      </c>
      <c r="H66" s="572">
        <f t="shared" si="3"/>
        <v>0</v>
      </c>
      <c r="I66" s="572">
        <f t="shared" si="3"/>
        <v>0</v>
      </c>
      <c r="J66" s="572">
        <f t="shared" si="3"/>
        <v>0</v>
      </c>
      <c r="K66" s="572">
        <f t="shared" si="3"/>
        <v>0</v>
      </c>
      <c r="L66" s="572">
        <f t="shared" si="3"/>
        <v>0</v>
      </c>
      <c r="M66" s="572">
        <f t="shared" si="3"/>
        <v>0</v>
      </c>
      <c r="N66" s="572">
        <f t="shared" si="3"/>
        <v>0</v>
      </c>
      <c r="O66" s="572">
        <f t="shared" si="3"/>
        <v>0</v>
      </c>
      <c r="P66" s="572">
        <f t="shared" si="3"/>
        <v>0</v>
      </c>
      <c r="Q66" s="572">
        <f t="shared" si="3"/>
        <v>0</v>
      </c>
      <c r="R66" s="572">
        <f t="shared" si="3"/>
        <v>0</v>
      </c>
      <c r="S66" s="572">
        <f t="shared" si="3"/>
        <v>0</v>
      </c>
      <c r="T66" s="572">
        <f t="shared" si="3"/>
        <v>0</v>
      </c>
      <c r="U66" s="572">
        <f t="shared" si="3"/>
        <v>0</v>
      </c>
      <c r="V66" s="572">
        <f t="shared" si="3"/>
        <v>0</v>
      </c>
      <c r="W66" s="572">
        <f t="shared" si="3"/>
        <v>0</v>
      </c>
      <c r="X66" s="573">
        <f t="shared" si="3"/>
        <v>0</v>
      </c>
      <c r="Y66" s="540"/>
    </row>
    <row r="67" spans="1:25" ht="15">
      <c r="A67" s="571"/>
      <c r="B67" s="575" t="s">
        <v>9</v>
      </c>
      <c r="C67" s="575"/>
      <c r="D67" s="572">
        <f>D53+D61</f>
        <v>5680443.38083803</v>
      </c>
      <c r="E67" s="572">
        <f aca="true" t="shared" si="4" ref="E67:X67">E47+E61-E66</f>
        <v>94655.1617322746</v>
      </c>
      <c r="F67" s="572">
        <f t="shared" si="4"/>
        <v>94655.1617322746</v>
      </c>
      <c r="G67" s="572">
        <f t="shared" si="4"/>
        <v>94655.1617322746</v>
      </c>
      <c r="H67" s="572">
        <f t="shared" si="4"/>
        <v>1439607.9653322746</v>
      </c>
      <c r="I67" s="572">
        <f t="shared" si="4"/>
        <v>94655.1617322746</v>
      </c>
      <c r="J67" s="572">
        <f t="shared" si="4"/>
        <v>94655.1617322746</v>
      </c>
      <c r="K67" s="572">
        <f t="shared" si="4"/>
        <v>94655.1617322746</v>
      </c>
      <c r="L67" s="572">
        <f t="shared" si="4"/>
        <v>1439607.9653322746</v>
      </c>
      <c r="M67" s="572">
        <f t="shared" si="4"/>
        <v>94655.1617322746</v>
      </c>
      <c r="N67" s="572">
        <f t="shared" si="4"/>
        <v>334825.3052322746</v>
      </c>
      <c r="O67" s="572">
        <f t="shared" si="4"/>
        <v>94655.1617322746</v>
      </c>
      <c r="P67" s="572">
        <f t="shared" si="4"/>
        <v>1439607.9653322746</v>
      </c>
      <c r="Q67" s="572">
        <f t="shared" si="4"/>
        <v>94655.1617322746</v>
      </c>
      <c r="R67" s="572">
        <f t="shared" si="4"/>
        <v>94655.1617322746</v>
      </c>
      <c r="S67" s="572">
        <f t="shared" si="4"/>
        <v>94655.1617322746</v>
      </c>
      <c r="T67" s="572">
        <f t="shared" si="4"/>
        <v>1439607.9653322746</v>
      </c>
      <c r="U67" s="572">
        <f t="shared" si="4"/>
        <v>94655.1617322746</v>
      </c>
      <c r="V67" s="572">
        <f t="shared" si="4"/>
        <v>94655.1617322746</v>
      </c>
      <c r="W67" s="572">
        <f t="shared" si="4"/>
        <v>94655.1617322746</v>
      </c>
      <c r="X67" s="573">
        <f t="shared" si="4"/>
        <v>1679778.1088322746</v>
      </c>
      <c r="Y67" s="540"/>
    </row>
    <row r="68" spans="1:25" ht="15.75" thickBot="1">
      <c r="A68" s="576"/>
      <c r="B68" s="577"/>
      <c r="C68" s="577"/>
      <c r="D68" s="578"/>
      <c r="E68" s="578"/>
      <c r="F68" s="578"/>
      <c r="G68" s="578"/>
      <c r="H68" s="578"/>
      <c r="I68" s="578"/>
      <c r="J68" s="578"/>
      <c r="K68" s="578"/>
      <c r="L68" s="578"/>
      <c r="M68" s="578"/>
      <c r="N68" s="578"/>
      <c r="O68" s="578"/>
      <c r="P68" s="578"/>
      <c r="Q68" s="578"/>
      <c r="R68" s="578"/>
      <c r="S68" s="578"/>
      <c r="T68" s="578"/>
      <c r="U68" s="578"/>
      <c r="V68" s="578"/>
      <c r="W68" s="578"/>
      <c r="X68" s="579"/>
      <c r="Y68" s="540"/>
    </row>
    <row r="71" ht="15" hidden="1"/>
    <row r="72" ht="15" hidden="1"/>
    <row r="73" spans="2:7" ht="15" hidden="1">
      <c r="B73" s="791" t="s">
        <v>37</v>
      </c>
      <c r="C73" s="580" t="s">
        <v>127</v>
      </c>
      <c r="D73" s="518" t="s">
        <v>128</v>
      </c>
      <c r="E73" s="518" t="s">
        <v>126</v>
      </c>
      <c r="F73" s="581"/>
      <c r="G73" s="518" t="s">
        <v>225</v>
      </c>
    </row>
    <row r="74" spans="2:7" ht="15" hidden="1">
      <c r="B74" s="582" t="s">
        <v>282</v>
      </c>
      <c r="C74" s="583">
        <v>0.41</v>
      </c>
      <c r="D74" s="785">
        <v>0.49</v>
      </c>
      <c r="E74" s="785">
        <v>0.57</v>
      </c>
      <c r="G74" s="584">
        <f>IF(Entrada!$K$82="FACTOR GLOBAL","",HLOOKUP(region,B73:E74,2,FALSE))</f>
        <v>0.49</v>
      </c>
    </row>
    <row r="75" spans="2:7" ht="15" hidden="1">
      <c r="B75" s="585" t="s">
        <v>283</v>
      </c>
      <c r="C75" s="586"/>
      <c r="D75" s="586"/>
      <c r="E75" s="587"/>
      <c r="G75" s="520">
        <f>IF(Entrada!D16="Sistema Convencional",0,IF(Entrada!$K$82="FACTOR GLOBAL","",0.8475))</f>
        <v>0.8475</v>
      </c>
    </row>
    <row r="76" spans="2:7" ht="15" hidden="1">
      <c r="B76" s="354" t="s">
        <v>147</v>
      </c>
      <c r="C76" s="586"/>
      <c r="D76" s="586"/>
      <c r="E76" s="587"/>
      <c r="G76" s="588">
        <f>IF(Entrada!$K$82="FACTOR GLOBAL",0.8309,1)</f>
        <v>1</v>
      </c>
    </row>
    <row r="77" ht="15" hidden="1"/>
    <row r="78" ht="15" hidden="1"/>
  </sheetData>
  <sheetProtection password="FFA0" sheet="1"/>
  <mergeCells count="6">
    <mergeCell ref="A2:X2"/>
    <mergeCell ref="A3:X3"/>
    <mergeCell ref="A4:X4"/>
    <mergeCell ref="A5:B7"/>
    <mergeCell ref="D5:X5"/>
    <mergeCell ref="C5:C7"/>
  </mergeCells>
  <conditionalFormatting sqref="C10:C60">
    <cfRule type="cellIs" priority="1" dxfId="33" operator="equal" stopIfTrue="1">
      <formula>1</formula>
    </cfRule>
  </conditionalFormatting>
  <printOptions horizontalCentered="1" verticalCentered="1"/>
  <pageMargins left="0.1968503937007874" right="0.1968503937007874" top="0.4330708661417323" bottom="0.3937007874015748" header="0.31496062992125984" footer="0.31496062992125984"/>
  <pageSetup fitToHeight="1" fitToWidth="1" horizontalDpi="300" verticalDpi="300" orientation="landscape" paperSize="9" scale="58" r:id="rId2"/>
  <colBreaks count="2" manualBreakCount="2">
    <brk id="80" max="37" man="1"/>
    <brk id="162" max="37" man="1"/>
  </colBreaks>
  <drawing r:id="rId1"/>
</worksheet>
</file>

<file path=xl/worksheets/sheet14.xml><?xml version="1.0" encoding="utf-8"?>
<worksheet xmlns="http://schemas.openxmlformats.org/spreadsheetml/2006/main" xmlns:r="http://schemas.openxmlformats.org/officeDocument/2006/relationships">
  <sheetPr codeName="Hoja14">
    <pageSetUpPr fitToPage="1"/>
  </sheetPr>
  <dimension ref="A1:X29"/>
  <sheetViews>
    <sheetView showGridLines="0" showZeros="0" zoomScaleSheetLayoutView="75" zoomScalePageLayoutView="0" workbookViewId="0" topLeftCell="A1">
      <pane ySplit="4" topLeftCell="A5" activePane="bottomLeft" state="frozen"/>
      <selection pane="topLeft" activeCell="K132" sqref="K132"/>
      <selection pane="bottomLeft" activeCell="K36" sqref="K36"/>
    </sheetView>
  </sheetViews>
  <sheetFormatPr defaultColWidth="11.421875" defaultRowHeight="15"/>
  <cols>
    <col min="1" max="1" width="3.00390625" style="234" bestFit="1" customWidth="1"/>
    <col min="2" max="2" width="31.421875" style="234" bestFit="1" customWidth="1"/>
    <col min="3" max="3" width="5.28125" style="234" bestFit="1" customWidth="1"/>
    <col min="4" max="4" width="8.140625" style="234" bestFit="1" customWidth="1"/>
    <col min="5" max="5" width="8.8515625" style="234" bestFit="1" customWidth="1"/>
    <col min="6" max="17" width="7.00390625" style="234" bestFit="1" customWidth="1"/>
    <col min="18" max="23" width="8.00390625" style="234" bestFit="1" customWidth="1"/>
    <col min="24" max="16384" width="11.421875" style="234" customWidth="1"/>
  </cols>
  <sheetData>
    <row r="1" spans="1:24" ht="27" customHeight="1" thickBot="1">
      <c r="A1" s="440"/>
      <c r="B1" s="440"/>
      <c r="C1" s="440"/>
      <c r="D1" s="440"/>
      <c r="E1" s="440"/>
      <c r="F1" s="440"/>
      <c r="G1" s="440"/>
      <c r="H1" s="440"/>
      <c r="I1" s="440"/>
      <c r="J1" s="440"/>
      <c r="K1" s="440"/>
      <c r="L1" s="440"/>
      <c r="M1" s="440"/>
      <c r="N1" s="440"/>
      <c r="O1" s="440"/>
      <c r="P1" s="440"/>
      <c r="Q1" s="440"/>
      <c r="R1" s="440"/>
      <c r="S1" s="440"/>
      <c r="T1" s="440"/>
      <c r="U1" s="440"/>
      <c r="V1" s="440"/>
      <c r="W1" s="440"/>
      <c r="X1" s="440"/>
    </row>
    <row r="2" spans="1:24" ht="15.75">
      <c r="A2" s="876" t="s">
        <v>148</v>
      </c>
      <c r="B2" s="877"/>
      <c r="C2" s="877"/>
      <c r="D2" s="877"/>
      <c r="E2" s="877"/>
      <c r="F2" s="877"/>
      <c r="G2" s="877"/>
      <c r="H2" s="877"/>
      <c r="I2" s="877"/>
      <c r="J2" s="877"/>
      <c r="K2" s="877"/>
      <c r="L2" s="877"/>
      <c r="M2" s="877"/>
      <c r="N2" s="877"/>
      <c r="O2" s="877"/>
      <c r="P2" s="877"/>
      <c r="Q2" s="877"/>
      <c r="R2" s="877"/>
      <c r="S2" s="877"/>
      <c r="T2" s="877"/>
      <c r="U2" s="877"/>
      <c r="V2" s="877"/>
      <c r="W2" s="878"/>
      <c r="X2" s="440"/>
    </row>
    <row r="3" spans="1:24" ht="15.75">
      <c r="A3" s="879" t="s">
        <v>349</v>
      </c>
      <c r="B3" s="880"/>
      <c r="C3" s="880"/>
      <c r="D3" s="880"/>
      <c r="E3" s="880"/>
      <c r="F3" s="880"/>
      <c r="G3" s="880"/>
      <c r="H3" s="880"/>
      <c r="I3" s="880"/>
      <c r="J3" s="880"/>
      <c r="K3" s="880"/>
      <c r="L3" s="880"/>
      <c r="M3" s="880"/>
      <c r="N3" s="880"/>
      <c r="O3" s="880"/>
      <c r="P3" s="880"/>
      <c r="Q3" s="880"/>
      <c r="R3" s="880"/>
      <c r="S3" s="880"/>
      <c r="T3" s="880"/>
      <c r="U3" s="880"/>
      <c r="V3" s="880"/>
      <c r="W3" s="881"/>
      <c r="X3" s="440"/>
    </row>
    <row r="4" spans="1:24" ht="15.75">
      <c r="A4" s="882" t="s">
        <v>32</v>
      </c>
      <c r="B4" s="883"/>
      <c r="C4" s="883"/>
      <c r="D4" s="883"/>
      <c r="E4" s="883"/>
      <c r="F4" s="883"/>
      <c r="G4" s="883"/>
      <c r="H4" s="883"/>
      <c r="I4" s="883"/>
      <c r="J4" s="883"/>
      <c r="K4" s="883"/>
      <c r="L4" s="883"/>
      <c r="M4" s="883"/>
      <c r="N4" s="883"/>
      <c r="O4" s="883"/>
      <c r="P4" s="883"/>
      <c r="Q4" s="883"/>
      <c r="R4" s="883"/>
      <c r="S4" s="883"/>
      <c r="T4" s="883"/>
      <c r="U4" s="883"/>
      <c r="V4" s="883"/>
      <c r="W4" s="884"/>
      <c r="X4" s="440"/>
    </row>
    <row r="5" spans="1:24" ht="15">
      <c r="A5" s="494"/>
      <c r="B5" s="495"/>
      <c r="C5" s="495"/>
      <c r="D5" s="495"/>
      <c r="E5" s="495"/>
      <c r="F5" s="495"/>
      <c r="G5" s="495"/>
      <c r="H5" s="495"/>
      <c r="I5" s="495"/>
      <c r="J5" s="495"/>
      <c r="K5" s="495"/>
      <c r="L5" s="495"/>
      <c r="M5" s="495"/>
      <c r="N5" s="495"/>
      <c r="O5" s="495"/>
      <c r="P5" s="495"/>
      <c r="Q5" s="495"/>
      <c r="R5" s="495"/>
      <c r="S5" s="495"/>
      <c r="T5" s="495"/>
      <c r="U5" s="495"/>
      <c r="V5" s="495"/>
      <c r="W5" s="188"/>
      <c r="X5" s="440"/>
    </row>
    <row r="6" spans="1:24" ht="12.75" customHeight="1">
      <c r="A6" s="867" t="s">
        <v>4</v>
      </c>
      <c r="B6" s="868"/>
      <c r="C6" s="873" t="s">
        <v>92</v>
      </c>
      <c r="D6" s="874"/>
      <c r="E6" s="874"/>
      <c r="F6" s="874"/>
      <c r="G6" s="874"/>
      <c r="H6" s="874"/>
      <c r="I6" s="874"/>
      <c r="J6" s="874"/>
      <c r="K6" s="874"/>
      <c r="L6" s="874"/>
      <c r="M6" s="874"/>
      <c r="N6" s="874"/>
      <c r="O6" s="874"/>
      <c r="P6" s="874"/>
      <c r="Q6" s="874"/>
      <c r="R6" s="874"/>
      <c r="S6" s="874"/>
      <c r="T6" s="874"/>
      <c r="U6" s="874"/>
      <c r="V6" s="874"/>
      <c r="W6" s="875"/>
      <c r="X6" s="440"/>
    </row>
    <row r="7" spans="1:24" ht="15">
      <c r="A7" s="869"/>
      <c r="B7" s="870"/>
      <c r="C7" s="8">
        <v>0</v>
      </c>
      <c r="D7" s="8">
        <v>1</v>
      </c>
      <c r="E7" s="8">
        <v>2</v>
      </c>
      <c r="F7" s="8">
        <v>3</v>
      </c>
      <c r="G7" s="8">
        <v>4</v>
      </c>
      <c r="H7" s="8">
        <v>5</v>
      </c>
      <c r="I7" s="8">
        <v>6</v>
      </c>
      <c r="J7" s="8">
        <v>7</v>
      </c>
      <c r="K7" s="8">
        <v>8</v>
      </c>
      <c r="L7" s="8">
        <v>9</v>
      </c>
      <c r="M7" s="8">
        <v>10</v>
      </c>
      <c r="N7" s="8">
        <v>11</v>
      </c>
      <c r="O7" s="8">
        <v>12</v>
      </c>
      <c r="P7" s="8">
        <v>13</v>
      </c>
      <c r="Q7" s="8">
        <v>14</v>
      </c>
      <c r="R7" s="8">
        <v>15</v>
      </c>
      <c r="S7" s="8">
        <v>16</v>
      </c>
      <c r="T7" s="8">
        <v>17</v>
      </c>
      <c r="U7" s="8">
        <v>18</v>
      </c>
      <c r="V7" s="8">
        <v>19</v>
      </c>
      <c r="W7" s="114">
        <v>20</v>
      </c>
      <c r="X7" s="440"/>
    </row>
    <row r="8" spans="1:24" ht="15">
      <c r="A8" s="871"/>
      <c r="B8" s="872"/>
      <c r="C8" s="8">
        <f>'F2'!C8</f>
        <v>2011</v>
      </c>
      <c r="D8" s="8">
        <f>+C8+1</f>
        <v>2012</v>
      </c>
      <c r="E8" s="8">
        <f aca="true" t="shared" si="0" ref="E8:W8">+D8+1</f>
        <v>2013</v>
      </c>
      <c r="F8" s="8">
        <f t="shared" si="0"/>
        <v>2014</v>
      </c>
      <c r="G8" s="8">
        <f t="shared" si="0"/>
        <v>2015</v>
      </c>
      <c r="H8" s="8">
        <f t="shared" si="0"/>
        <v>2016</v>
      </c>
      <c r="I8" s="8">
        <f t="shared" si="0"/>
        <v>2017</v>
      </c>
      <c r="J8" s="8">
        <f t="shared" si="0"/>
        <v>2018</v>
      </c>
      <c r="K8" s="8">
        <f t="shared" si="0"/>
        <v>2019</v>
      </c>
      <c r="L8" s="8">
        <f t="shared" si="0"/>
        <v>2020</v>
      </c>
      <c r="M8" s="8">
        <f t="shared" si="0"/>
        <v>2021</v>
      </c>
      <c r="N8" s="8">
        <f t="shared" si="0"/>
        <v>2022</v>
      </c>
      <c r="O8" s="8">
        <f t="shared" si="0"/>
        <v>2023</v>
      </c>
      <c r="P8" s="8">
        <f t="shared" si="0"/>
        <v>2024</v>
      </c>
      <c r="Q8" s="8">
        <f t="shared" si="0"/>
        <v>2025</v>
      </c>
      <c r="R8" s="8">
        <f t="shared" si="0"/>
        <v>2026</v>
      </c>
      <c r="S8" s="8">
        <f t="shared" si="0"/>
        <v>2027</v>
      </c>
      <c r="T8" s="8">
        <f t="shared" si="0"/>
        <v>2028</v>
      </c>
      <c r="U8" s="8">
        <f t="shared" si="0"/>
        <v>2029</v>
      </c>
      <c r="V8" s="8">
        <f t="shared" si="0"/>
        <v>2030</v>
      </c>
      <c r="W8" s="114">
        <f t="shared" si="0"/>
        <v>2031</v>
      </c>
      <c r="X8" s="440"/>
    </row>
    <row r="9" spans="1:24" ht="15">
      <c r="A9" s="473"/>
      <c r="B9" s="474"/>
      <c r="C9" s="523"/>
      <c r="D9" s="523"/>
      <c r="E9" s="523"/>
      <c r="F9" s="523"/>
      <c r="G9" s="523"/>
      <c r="H9" s="523"/>
      <c r="I9" s="523"/>
      <c r="J9" s="523"/>
      <c r="K9" s="523"/>
      <c r="L9" s="523"/>
      <c r="M9" s="523"/>
      <c r="N9" s="523"/>
      <c r="O9" s="523"/>
      <c r="P9" s="523"/>
      <c r="Q9" s="523"/>
      <c r="R9" s="523"/>
      <c r="S9" s="523"/>
      <c r="T9" s="523"/>
      <c r="U9" s="523"/>
      <c r="V9" s="523"/>
      <c r="W9" s="524"/>
      <c r="X9" s="440"/>
    </row>
    <row r="10" spans="1:24" ht="15">
      <c r="A10" s="458" t="s">
        <v>0</v>
      </c>
      <c r="B10" s="449" t="s">
        <v>10</v>
      </c>
      <c r="C10" s="453"/>
      <c r="D10" s="453"/>
      <c r="E10" s="453"/>
      <c r="F10" s="453"/>
      <c r="G10" s="453"/>
      <c r="H10" s="453"/>
      <c r="I10" s="453"/>
      <c r="J10" s="453"/>
      <c r="K10" s="453"/>
      <c r="L10" s="453"/>
      <c r="M10" s="453"/>
      <c r="N10" s="453"/>
      <c r="O10" s="453"/>
      <c r="P10" s="453"/>
      <c r="Q10" s="453"/>
      <c r="R10" s="453"/>
      <c r="S10" s="453"/>
      <c r="T10" s="453"/>
      <c r="U10" s="453"/>
      <c r="V10" s="453"/>
      <c r="W10" s="525"/>
      <c r="X10" s="440"/>
    </row>
    <row r="11" spans="1:24" ht="15">
      <c r="A11" s="497"/>
      <c r="B11" s="498" t="s">
        <v>149</v>
      </c>
      <c r="C11" s="526"/>
      <c r="D11" s="527">
        <f>'F2'!C47*BT5R/100*1.18*senTRes</f>
        <v>83607.37025508</v>
      </c>
      <c r="E11" s="527">
        <f>'F2'!D47*BT5R/100*1.18*senTRes</f>
        <v>85303.3834841034</v>
      </c>
      <c r="F11" s="527">
        <f>'F2'!E47*BT5R/100*1.18*senTRes</f>
        <v>86863.47380008505</v>
      </c>
      <c r="G11" s="527">
        <f>'F2'!F47*BT5R/100*1.18*senTRes</f>
        <v>88599.16536046559</v>
      </c>
      <c r="H11" s="527">
        <f>'F2'!G47*BT5R/100*1.18*senTRes</f>
        <v>90038.53197867688</v>
      </c>
      <c r="I11" s="527">
        <f>'F2'!H47*BT5R/100*1.18*senTRes</f>
        <v>91813.54335514034</v>
      </c>
      <c r="J11" s="527">
        <f>'F2'!I47*BT5R/100*1.18*senTRes</f>
        <v>93609.671744331</v>
      </c>
      <c r="K11" s="527">
        <f>'F2'!J47*BT5R/100*1.18*senTRes</f>
        <v>95427.13086427847</v>
      </c>
      <c r="L11" s="527">
        <f>'F2'!K47*BT5R/100*1.18*senTRes</f>
        <v>97266.1364279699</v>
      </c>
      <c r="M11" s="527">
        <f>'F2'!L47*BT5R/100*1.18*senTRes</f>
        <v>99126.90616108748</v>
      </c>
      <c r="N11" s="527">
        <f>'F2'!M47*BT5R/100*1.18*senTRes</f>
        <v>101009.65981989833</v>
      </c>
      <c r="O11" s="527">
        <f>'F2'!N47*BT5R/100*1.18*senTRes</f>
        <v>102914.61920929849</v>
      </c>
      <c r="P11" s="527">
        <f>'F2'!O47*BT5R/100*1.18*senTRes</f>
        <v>104842.00820101208</v>
      </c>
      <c r="Q11" s="527">
        <f>'F2'!P47*BT5R/100*1.18*senTRes</f>
        <v>106792.05275194703</v>
      </c>
      <c r="R11" s="527">
        <f>'F2'!Q47*BT5R/100*1.18*senTRes</f>
        <v>108764.98092270862</v>
      </c>
      <c r="S11" s="527">
        <f>'F2'!R47*BT5R/100*1.18*senTRes</f>
        <v>110932.74541239043</v>
      </c>
      <c r="T11" s="527">
        <f>'F2'!S47*BT5R/100*1.18*senTRes</f>
        <v>112953.38708730228</v>
      </c>
      <c r="U11" s="527">
        <f>'F2'!T47*BT5R/100*1.18*senTRes</f>
        <v>115171.8573406113</v>
      </c>
      <c r="V11" s="527">
        <f>'F2'!U47*BT5R/100*1.18*senTRes</f>
        <v>117416.69797362076</v>
      </c>
      <c r="W11" s="528">
        <f>'F2'!V47*BT5R/100*1.18*senTRes</f>
        <v>119688.17577159444</v>
      </c>
      <c r="X11" s="440"/>
    </row>
    <row r="12" spans="1:24" ht="15">
      <c r="A12" s="500"/>
      <c r="B12" s="498" t="s">
        <v>150</v>
      </c>
      <c r="C12" s="529"/>
      <c r="D12" s="527">
        <f>'F2'!C48*BT5R/100*1.18</f>
        <v>0</v>
      </c>
      <c r="E12" s="527">
        <f>'F2'!D48*BT5R/100*1.18</f>
        <v>0</v>
      </c>
      <c r="F12" s="527">
        <f>'F2'!E48*BT5R/100*1.18</f>
        <v>0</v>
      </c>
      <c r="G12" s="527">
        <f>'F2'!F48*BT5R/100*1.18</f>
        <v>0</v>
      </c>
      <c r="H12" s="527">
        <f>'F2'!G48*BT5R/100*1.18</f>
        <v>0</v>
      </c>
      <c r="I12" s="527">
        <f>'F2'!H48*BT5R/100*1.18</f>
        <v>0</v>
      </c>
      <c r="J12" s="527">
        <f>'F2'!I48*BT5R/100*1.18</f>
        <v>0</v>
      </c>
      <c r="K12" s="527">
        <f>'F2'!J48*BT5R/100*1.18</f>
        <v>0</v>
      </c>
      <c r="L12" s="527">
        <f>'F2'!K48*BT5R/100*1.18</f>
        <v>0</v>
      </c>
      <c r="M12" s="527">
        <f>'F2'!L48*BT5R/100*1.18</f>
        <v>0</v>
      </c>
      <c r="N12" s="527">
        <f>'F2'!M48*BT5R/100*1.18</f>
        <v>0</v>
      </c>
      <c r="O12" s="527">
        <f>'F2'!N48*BT5R/100*1.18</f>
        <v>0</v>
      </c>
      <c r="P12" s="527">
        <f>'F2'!O48*BT5R/100*1.18</f>
        <v>0</v>
      </c>
      <c r="Q12" s="527">
        <f>'F2'!P48*BT5R/100*1.18</f>
        <v>0</v>
      </c>
      <c r="R12" s="527">
        <f>'F2'!Q48*BT5R/100*1.18</f>
        <v>0</v>
      </c>
      <c r="S12" s="527">
        <f>'F2'!R48*BT5R/100*1.18</f>
        <v>0</v>
      </c>
      <c r="T12" s="527">
        <f>'F2'!S48*BT5R/100*1.18</f>
        <v>0</v>
      </c>
      <c r="U12" s="527">
        <f>'F2'!T48*BT5R/100*1.18</f>
        <v>0</v>
      </c>
      <c r="V12" s="527">
        <f>'F2'!U48*BT5R/100*1.18</f>
        <v>0</v>
      </c>
      <c r="W12" s="528">
        <f>'F2'!V48*BT5R/100*1.18</f>
        <v>0</v>
      </c>
      <c r="X12" s="440"/>
    </row>
    <row r="13" spans="1:24" ht="15">
      <c r="A13" s="500"/>
      <c r="B13" s="498" t="s">
        <v>152</v>
      </c>
      <c r="C13" s="529"/>
      <c r="D13" s="527">
        <f>'F2'!C49*BT5R/100*1.18</f>
        <v>2161.5230937599995</v>
      </c>
      <c r="E13" s="527">
        <f>'F2'!D49*BT5R/100*1.18</f>
        <v>2161.5230937599995</v>
      </c>
      <c r="F13" s="527">
        <f>'F2'!E49*BT5R/100*1.18</f>
        <v>2161.5230937599995</v>
      </c>
      <c r="G13" s="527">
        <f>'F2'!F49*BT5R/100*1.18</f>
        <v>2161.5230937599995</v>
      </c>
      <c r="H13" s="527">
        <f>'F2'!G49*BT5R/100*1.18</f>
        <v>2401.6923264</v>
      </c>
      <c r="I13" s="527">
        <f>'F2'!H49*BT5R/100*1.18</f>
        <v>2401.6923264</v>
      </c>
      <c r="J13" s="527">
        <f>'F2'!I49*BT5R/100*1.18</f>
        <v>2401.6923264</v>
      </c>
      <c r="K13" s="527">
        <f>'F2'!J49*BT5R/100*1.18</f>
        <v>2401.6923264</v>
      </c>
      <c r="L13" s="527">
        <f>'F2'!K49*BT5R/100*1.18</f>
        <v>2401.6923264</v>
      </c>
      <c r="M13" s="527">
        <f>'F2'!L49*BT5R/100*1.18</f>
        <v>2401.6923264</v>
      </c>
      <c r="N13" s="527">
        <f>'F2'!M49*BT5R/100*1.18</f>
        <v>2401.6923264</v>
      </c>
      <c r="O13" s="527">
        <f>'F2'!N49*BT5R/100*1.18</f>
        <v>2401.6923264</v>
      </c>
      <c r="P13" s="527">
        <f>'F2'!O49*BT5R/100*1.18</f>
        <v>2401.6923264</v>
      </c>
      <c r="Q13" s="527">
        <f>'F2'!P49*BT5R/100*1.18</f>
        <v>2641.8615590399995</v>
      </c>
      <c r="R13" s="527">
        <f>'F2'!Q49*BT5R/100*1.18</f>
        <v>2641.8615590399995</v>
      </c>
      <c r="S13" s="527">
        <f>'F2'!R49*BT5R/100*1.18</f>
        <v>2641.8615590399995</v>
      </c>
      <c r="T13" s="527">
        <f>'F2'!S49*BT5R/100*1.18</f>
        <v>2641.8615590399995</v>
      </c>
      <c r="U13" s="527">
        <f>'F2'!T49*BT5R/100*1.18</f>
        <v>2641.8615590399995</v>
      </c>
      <c r="V13" s="527">
        <f>'F2'!U49*BT5R/100*1.18</f>
        <v>2641.8615590399995</v>
      </c>
      <c r="W13" s="528">
        <f>'F2'!V49*BT5R/100*1.18</f>
        <v>2641.8615590399995</v>
      </c>
      <c r="X13" s="440"/>
    </row>
    <row r="14" spans="1:24" ht="15">
      <c r="A14" s="500"/>
      <c r="B14" s="498" t="s">
        <v>151</v>
      </c>
      <c r="C14" s="529"/>
      <c r="D14" s="527">
        <f>'F2'!C50*BT5R/100*1.18</f>
        <v>0</v>
      </c>
      <c r="E14" s="527">
        <f>'F2'!D50*BT5R/100*1.18</f>
        <v>0</v>
      </c>
      <c r="F14" s="527">
        <f>'F2'!E50*BT5R/100*1.18</f>
        <v>0</v>
      </c>
      <c r="G14" s="527">
        <f>'F2'!F50*BT5R/100*1.18</f>
        <v>0</v>
      </c>
      <c r="H14" s="527">
        <f>'F2'!G50*BT5R/100*1.18</f>
        <v>0</v>
      </c>
      <c r="I14" s="527">
        <f>'F2'!H50*BT5R/100*1.18</f>
        <v>0</v>
      </c>
      <c r="J14" s="527">
        <f>'F2'!I50*BT5R/100*1.18</f>
        <v>0</v>
      </c>
      <c r="K14" s="527">
        <f>'F2'!J50*BT5R/100*1.18</f>
        <v>0</v>
      </c>
      <c r="L14" s="527">
        <f>'F2'!K50*BT5R/100*1.18</f>
        <v>0</v>
      </c>
      <c r="M14" s="527">
        <f>'F2'!L50*BT5R/100*1.18</f>
        <v>0</v>
      </c>
      <c r="N14" s="527">
        <f>'F2'!M50*BT5R/100*1.18</f>
        <v>0</v>
      </c>
      <c r="O14" s="527">
        <f>'F2'!N50*BT5R/100*1.18</f>
        <v>0</v>
      </c>
      <c r="P14" s="527">
        <f>'F2'!O50*BT5R/100*1.18</f>
        <v>0</v>
      </c>
      <c r="Q14" s="527">
        <f>'F2'!P50*BT5R/100*1.18</f>
        <v>0</v>
      </c>
      <c r="R14" s="527">
        <f>'F2'!Q50*BT5R/100*1.18</f>
        <v>0</v>
      </c>
      <c r="S14" s="527">
        <f>'F2'!R50*BT5R/100*1.18</f>
        <v>0</v>
      </c>
      <c r="T14" s="527">
        <f>'F2'!S50*BT5R/100*1.18</f>
        <v>0</v>
      </c>
      <c r="U14" s="527">
        <f>'F2'!T50*BT5R/100*1.18</f>
        <v>0</v>
      </c>
      <c r="V14" s="527">
        <f>'F2'!U50*BT5R/100*1.18</f>
        <v>0</v>
      </c>
      <c r="W14" s="528">
        <f>'F2'!V50*BT5R/100*1.18</f>
        <v>0</v>
      </c>
      <c r="X14" s="440"/>
    </row>
    <row r="15" spans="1:24" ht="15">
      <c r="A15" s="500"/>
      <c r="B15" s="498" t="s">
        <v>153</v>
      </c>
      <c r="C15" s="529"/>
      <c r="D15" s="530">
        <f>'F2'!C56*TAP/100*1.18</f>
        <v>1501.9058879999995</v>
      </c>
      <c r="E15" s="530">
        <f>'F2'!D56*TAP/100*1.18</f>
        <v>1520.5631039999998</v>
      </c>
      <c r="F15" s="530">
        <f>'F2'!E56*TAP/100*1.18</f>
        <v>1529.8917119999999</v>
      </c>
      <c r="G15" s="530">
        <f>'F2'!F56*TAP/100*1.18</f>
        <v>1548.548928</v>
      </c>
      <c r="H15" s="530">
        <f>'F2'!G56*TAP/100*1.18</f>
        <v>1567.2061439999998</v>
      </c>
      <c r="I15" s="530">
        <f>'F2'!H56*TAP/100*1.18</f>
        <v>1585.8633599999996</v>
      </c>
      <c r="J15" s="530">
        <f>'F2'!I56*TAP/100*1.18</f>
        <v>1604.5205759999997</v>
      </c>
      <c r="K15" s="530">
        <f>'F2'!J56*TAP/100*1.18</f>
        <v>1623.1777919999995</v>
      </c>
      <c r="L15" s="530">
        <f>'F2'!K56*TAP/100*1.18</f>
        <v>1641.8350079999996</v>
      </c>
      <c r="M15" s="530">
        <f>'F2'!L56*TAP/100*1.18</f>
        <v>1660.4922239999999</v>
      </c>
      <c r="N15" s="530">
        <f>'F2'!M56*TAP/100*1.18</f>
        <v>1679.1494399999995</v>
      </c>
      <c r="O15" s="530">
        <f>'F2'!N56*TAP/100*1.18</f>
        <v>1697.8066559999997</v>
      </c>
      <c r="P15" s="530">
        <f>'F2'!O56*TAP/100*1.18</f>
        <v>1716.4638719999996</v>
      </c>
      <c r="Q15" s="530">
        <f>'F2'!P56*TAP/100*1.18</f>
        <v>1744.4496959999994</v>
      </c>
      <c r="R15" s="530">
        <f>'F2'!Q56*TAP/100*1.18</f>
        <v>1763.1069119999995</v>
      </c>
      <c r="S15" s="530">
        <f>'F2'!R56*TAP/100*1.18</f>
        <v>1781.7641279999998</v>
      </c>
      <c r="T15" s="530">
        <f>'F2'!S56*TAP/100*1.18</f>
        <v>1800.4213439999994</v>
      </c>
      <c r="U15" s="530">
        <f>'F2'!T56*TAP/100*1.18</f>
        <v>1828.4071679999995</v>
      </c>
      <c r="V15" s="530">
        <f>'F2'!U56*TAP/100*1.18</f>
        <v>1847.0643839999996</v>
      </c>
      <c r="W15" s="531">
        <f>'F2'!V56*TAP/100*1.18</f>
        <v>1865.7215999999999</v>
      </c>
      <c r="X15" s="440"/>
    </row>
    <row r="16" spans="1:24" ht="15">
      <c r="A16" s="500"/>
      <c r="B16" s="498" t="s">
        <v>48</v>
      </c>
      <c r="C16" s="529"/>
      <c r="D16" s="530">
        <f>'F2'!C36*CFIJO*1.18*12</f>
        <v>12818.764799999999</v>
      </c>
      <c r="E16" s="530">
        <f>'F2'!D36*CFIJO*1.18*12</f>
        <v>12981.3216</v>
      </c>
      <c r="F16" s="530">
        <f>'F2'!E36*CFIJO*1.18*12</f>
        <v>13120.655999999999</v>
      </c>
      <c r="G16" s="530">
        <f>'F2'!F36*CFIJO*1.18*12</f>
        <v>13283.212799999998</v>
      </c>
      <c r="H16" s="530">
        <f>'F2'!G36*CFIJO*1.18*12</f>
        <v>13422.547199999999</v>
      </c>
      <c r="I16" s="530">
        <f>'F2'!H36*CFIJO*1.18*12</f>
        <v>13585.104</v>
      </c>
      <c r="J16" s="530">
        <f>'F2'!I36*CFIJO*1.18*12</f>
        <v>13747.660800000001</v>
      </c>
      <c r="K16" s="530">
        <f>'F2'!J36*CFIJO*1.18*12</f>
        <v>13910.217599999996</v>
      </c>
      <c r="L16" s="530">
        <f>'F2'!K36*CFIJO*1.18*12</f>
        <v>14072.774399999998</v>
      </c>
      <c r="M16" s="530">
        <f>'F2'!L36*CFIJO*1.18*12</f>
        <v>14235.331199999999</v>
      </c>
      <c r="N16" s="530">
        <f>'F2'!M36*CFIJO*1.18*12</f>
        <v>14397.887999999999</v>
      </c>
      <c r="O16" s="530">
        <f>'F2'!N36*CFIJO*1.18*12</f>
        <v>14560.444799999997</v>
      </c>
      <c r="P16" s="530">
        <f>'F2'!O36*CFIJO*1.18*12</f>
        <v>14723.0016</v>
      </c>
      <c r="Q16" s="530">
        <f>'F2'!P36*CFIJO*1.18*12</f>
        <v>14908.780799999997</v>
      </c>
      <c r="R16" s="530">
        <f>'F2'!Q36*CFIJO*1.18*12</f>
        <v>15071.337599999997</v>
      </c>
      <c r="S16" s="530">
        <f>'F2'!R36*CFIJO*1.18*12</f>
        <v>15257.1168</v>
      </c>
      <c r="T16" s="530">
        <f>'F2'!S36*CFIJO*1.18*12</f>
        <v>15419.6736</v>
      </c>
      <c r="U16" s="530">
        <f>'F2'!T36*CFIJO*1.18*12</f>
        <v>15605.4528</v>
      </c>
      <c r="V16" s="530">
        <f>'F2'!U36*CFIJO*1.18*12</f>
        <v>15791.232</v>
      </c>
      <c r="W16" s="531">
        <f>'F2'!V36*CFIJO*1.18*12</f>
        <v>15977.011199999997</v>
      </c>
      <c r="X16" s="440"/>
    </row>
    <row r="17" spans="1:24" ht="6" customHeight="1">
      <c r="A17" s="500"/>
      <c r="B17" s="498"/>
      <c r="C17" s="529"/>
      <c r="D17" s="530"/>
      <c r="E17" s="530"/>
      <c r="F17" s="530"/>
      <c r="G17" s="530"/>
      <c r="H17" s="530"/>
      <c r="I17" s="530"/>
      <c r="J17" s="530"/>
      <c r="K17" s="530"/>
      <c r="L17" s="530"/>
      <c r="M17" s="530"/>
      <c r="N17" s="530"/>
      <c r="O17" s="530"/>
      <c r="P17" s="530"/>
      <c r="Q17" s="530"/>
      <c r="R17" s="530"/>
      <c r="S17" s="530"/>
      <c r="T17" s="530"/>
      <c r="U17" s="530"/>
      <c r="V17" s="530"/>
      <c r="W17" s="531"/>
      <c r="X17" s="440"/>
    </row>
    <row r="18" spans="1:24" ht="15">
      <c r="A18" s="500"/>
      <c r="B18" s="501" t="s">
        <v>154</v>
      </c>
      <c r="C18" s="529"/>
      <c r="D18" s="530">
        <f>SUM(D11:D17)</f>
        <v>100089.56403683999</v>
      </c>
      <c r="E18" s="530">
        <f aca="true" t="shared" si="1" ref="E18:W18">SUM(E11:E17)</f>
        <v>101966.79128186339</v>
      </c>
      <c r="F18" s="530">
        <f t="shared" si="1"/>
        <v>103675.54460584505</v>
      </c>
      <c r="G18" s="530">
        <f t="shared" si="1"/>
        <v>105592.45018222558</v>
      </c>
      <c r="H18" s="530">
        <f t="shared" si="1"/>
        <v>107429.97764907689</v>
      </c>
      <c r="I18" s="530">
        <f t="shared" si="1"/>
        <v>109386.20304154034</v>
      </c>
      <c r="J18" s="530">
        <f t="shared" si="1"/>
        <v>111363.545446731</v>
      </c>
      <c r="K18" s="530">
        <f t="shared" si="1"/>
        <v>113362.21858267847</v>
      </c>
      <c r="L18" s="530">
        <f t="shared" si="1"/>
        <v>115382.4381623699</v>
      </c>
      <c r="M18" s="530">
        <f t="shared" si="1"/>
        <v>117424.42191148749</v>
      </c>
      <c r="N18" s="530">
        <f t="shared" si="1"/>
        <v>119488.38958629832</v>
      </c>
      <c r="O18" s="530">
        <f t="shared" si="1"/>
        <v>121574.56299169849</v>
      </c>
      <c r="P18" s="530">
        <f t="shared" si="1"/>
        <v>123683.16599941209</v>
      </c>
      <c r="Q18" s="530">
        <f t="shared" si="1"/>
        <v>126087.14480698702</v>
      </c>
      <c r="R18" s="530">
        <f t="shared" si="1"/>
        <v>128241.28699374862</v>
      </c>
      <c r="S18" s="530">
        <f t="shared" si="1"/>
        <v>130613.48789943043</v>
      </c>
      <c r="T18" s="530">
        <f t="shared" si="1"/>
        <v>132815.3435903423</v>
      </c>
      <c r="U18" s="530">
        <f t="shared" si="1"/>
        <v>135247.5788676513</v>
      </c>
      <c r="V18" s="530">
        <f t="shared" si="1"/>
        <v>137696.85591666074</v>
      </c>
      <c r="W18" s="531">
        <f t="shared" si="1"/>
        <v>140172.77013063445</v>
      </c>
      <c r="X18" s="440"/>
    </row>
    <row r="19" spans="1:24" ht="15">
      <c r="A19" s="473"/>
      <c r="B19" s="474"/>
      <c r="C19" s="523"/>
      <c r="D19" s="530"/>
      <c r="E19" s="231"/>
      <c r="F19" s="231"/>
      <c r="G19" s="231"/>
      <c r="H19" s="231"/>
      <c r="I19" s="231"/>
      <c r="J19" s="231"/>
      <c r="K19" s="231"/>
      <c r="L19" s="231"/>
      <c r="M19" s="231"/>
      <c r="N19" s="231"/>
      <c r="O19" s="231"/>
      <c r="P19" s="231"/>
      <c r="Q19" s="231"/>
      <c r="R19" s="231"/>
      <c r="S19" s="231"/>
      <c r="T19" s="231"/>
      <c r="U19" s="231"/>
      <c r="V19" s="231"/>
      <c r="W19" s="532"/>
      <c r="X19" s="440"/>
    </row>
    <row r="20" spans="1:24" ht="15">
      <c r="A20" s="458" t="s">
        <v>1</v>
      </c>
      <c r="B20" s="449" t="s">
        <v>11</v>
      </c>
      <c r="C20" s="453"/>
      <c r="D20" s="533"/>
      <c r="E20" s="230"/>
      <c r="F20" s="230"/>
      <c r="G20" s="230"/>
      <c r="H20" s="230"/>
      <c r="I20" s="230"/>
      <c r="J20" s="230"/>
      <c r="K20" s="230"/>
      <c r="L20" s="230"/>
      <c r="M20" s="230"/>
      <c r="N20" s="230"/>
      <c r="O20" s="230"/>
      <c r="P20" s="230"/>
      <c r="Q20" s="230"/>
      <c r="R20" s="230"/>
      <c r="S20" s="230"/>
      <c r="T20" s="230"/>
      <c r="U20" s="230"/>
      <c r="V20" s="230"/>
      <c r="W20" s="450"/>
      <c r="X20" s="440"/>
    </row>
    <row r="21" spans="1:24" ht="15">
      <c r="A21" s="458"/>
      <c r="B21" s="498"/>
      <c r="C21" s="526"/>
      <c r="D21" s="527"/>
      <c r="E21" s="527"/>
      <c r="F21" s="527"/>
      <c r="G21" s="527"/>
      <c r="H21" s="527"/>
      <c r="I21" s="527"/>
      <c r="J21" s="527"/>
      <c r="K21" s="527"/>
      <c r="L21" s="527"/>
      <c r="M21" s="527"/>
      <c r="N21" s="527"/>
      <c r="O21" s="527"/>
      <c r="P21" s="527"/>
      <c r="Q21" s="527"/>
      <c r="R21" s="527"/>
      <c r="S21" s="527"/>
      <c r="T21" s="527"/>
      <c r="U21" s="527"/>
      <c r="V21" s="527"/>
      <c r="W21" s="528"/>
      <c r="X21" s="440"/>
    </row>
    <row r="22" spans="1:24" ht="15">
      <c r="A22" s="458"/>
      <c r="B22" s="498"/>
      <c r="C22" s="526"/>
      <c r="D22" s="527"/>
      <c r="E22" s="527"/>
      <c r="F22" s="527"/>
      <c r="G22" s="527"/>
      <c r="H22" s="527"/>
      <c r="I22" s="527"/>
      <c r="J22" s="527"/>
      <c r="K22" s="527"/>
      <c r="L22" s="527"/>
      <c r="M22" s="527"/>
      <c r="N22" s="527"/>
      <c r="O22" s="527"/>
      <c r="P22" s="527"/>
      <c r="Q22" s="527"/>
      <c r="R22" s="527"/>
      <c r="S22" s="527"/>
      <c r="T22" s="527"/>
      <c r="U22" s="527"/>
      <c r="V22" s="527"/>
      <c r="W22" s="528"/>
      <c r="X22" s="440"/>
    </row>
    <row r="23" spans="1:24" ht="15">
      <c r="A23" s="458"/>
      <c r="B23" s="498" t="s">
        <v>155</v>
      </c>
      <c r="C23" s="526"/>
      <c r="D23" s="527">
        <f aca="true" t="shared" si="2" ref="D23:W23">SUM(D21:D22)</f>
        <v>0</v>
      </c>
      <c r="E23" s="527">
        <f t="shared" si="2"/>
        <v>0</v>
      </c>
      <c r="F23" s="527">
        <f t="shared" si="2"/>
        <v>0</v>
      </c>
      <c r="G23" s="527">
        <f t="shared" si="2"/>
        <v>0</v>
      </c>
      <c r="H23" s="527">
        <f t="shared" si="2"/>
        <v>0</v>
      </c>
      <c r="I23" s="527">
        <f t="shared" si="2"/>
        <v>0</v>
      </c>
      <c r="J23" s="527">
        <f t="shared" si="2"/>
        <v>0</v>
      </c>
      <c r="K23" s="527">
        <f t="shared" si="2"/>
        <v>0</v>
      </c>
      <c r="L23" s="527">
        <f t="shared" si="2"/>
        <v>0</v>
      </c>
      <c r="M23" s="527">
        <f t="shared" si="2"/>
        <v>0</v>
      </c>
      <c r="N23" s="527">
        <f t="shared" si="2"/>
        <v>0</v>
      </c>
      <c r="O23" s="527">
        <f t="shared" si="2"/>
        <v>0</v>
      </c>
      <c r="P23" s="527">
        <f t="shared" si="2"/>
        <v>0</v>
      </c>
      <c r="Q23" s="527">
        <f t="shared" si="2"/>
        <v>0</v>
      </c>
      <c r="R23" s="527">
        <f t="shared" si="2"/>
        <v>0</v>
      </c>
      <c r="S23" s="527">
        <f t="shared" si="2"/>
        <v>0</v>
      </c>
      <c r="T23" s="527">
        <f t="shared" si="2"/>
        <v>0</v>
      </c>
      <c r="U23" s="527">
        <f t="shared" si="2"/>
        <v>0</v>
      </c>
      <c r="V23" s="527">
        <f t="shared" si="2"/>
        <v>0</v>
      </c>
      <c r="W23" s="528">
        <f t="shared" si="2"/>
        <v>0</v>
      </c>
      <c r="X23" s="440"/>
    </row>
    <row r="24" spans="1:24" ht="15">
      <c r="A24" s="458"/>
      <c r="B24" s="449"/>
      <c r="C24" s="453"/>
      <c r="D24" s="230"/>
      <c r="E24" s="230"/>
      <c r="F24" s="230"/>
      <c r="G24" s="230"/>
      <c r="H24" s="230"/>
      <c r="I24" s="230"/>
      <c r="J24" s="230"/>
      <c r="K24" s="230"/>
      <c r="L24" s="230"/>
      <c r="M24" s="230"/>
      <c r="N24" s="230"/>
      <c r="O24" s="230"/>
      <c r="P24" s="230"/>
      <c r="Q24" s="230"/>
      <c r="R24" s="230"/>
      <c r="S24" s="230"/>
      <c r="T24" s="230"/>
      <c r="U24" s="230"/>
      <c r="V24" s="230"/>
      <c r="W24" s="450"/>
      <c r="X24" s="440"/>
    </row>
    <row r="25" spans="1:24" ht="15">
      <c r="A25" s="473"/>
      <c r="B25" s="474"/>
      <c r="C25" s="523"/>
      <c r="D25" s="231"/>
      <c r="E25" s="231"/>
      <c r="F25" s="231"/>
      <c r="G25" s="231"/>
      <c r="H25" s="231"/>
      <c r="I25" s="231"/>
      <c r="J25" s="231"/>
      <c r="K25" s="231"/>
      <c r="L25" s="231"/>
      <c r="M25" s="231"/>
      <c r="N25" s="231"/>
      <c r="O25" s="231"/>
      <c r="P25" s="231"/>
      <c r="Q25" s="231"/>
      <c r="R25" s="231"/>
      <c r="S25" s="231"/>
      <c r="T25" s="231"/>
      <c r="U25" s="231"/>
      <c r="V25" s="231"/>
      <c r="W25" s="532"/>
      <c r="X25" s="440"/>
    </row>
    <row r="26" spans="1:24" ht="15">
      <c r="A26" s="458" t="s">
        <v>8</v>
      </c>
      <c r="B26" s="511" t="s">
        <v>26</v>
      </c>
      <c r="C26" s="534"/>
      <c r="D26" s="535">
        <f aca="true" t="shared" si="3" ref="D26:W26">+D18-D23</f>
        <v>100089.56403683999</v>
      </c>
      <c r="E26" s="535">
        <f t="shared" si="3"/>
        <v>101966.79128186339</v>
      </c>
      <c r="F26" s="535">
        <f t="shared" si="3"/>
        <v>103675.54460584505</v>
      </c>
      <c r="G26" s="535">
        <f t="shared" si="3"/>
        <v>105592.45018222558</v>
      </c>
      <c r="H26" s="535">
        <f t="shared" si="3"/>
        <v>107429.97764907689</v>
      </c>
      <c r="I26" s="535">
        <f t="shared" si="3"/>
        <v>109386.20304154034</v>
      </c>
      <c r="J26" s="535">
        <f t="shared" si="3"/>
        <v>111363.545446731</v>
      </c>
      <c r="K26" s="535">
        <f t="shared" si="3"/>
        <v>113362.21858267847</v>
      </c>
      <c r="L26" s="535">
        <f t="shared" si="3"/>
        <v>115382.4381623699</v>
      </c>
      <c r="M26" s="535">
        <f t="shared" si="3"/>
        <v>117424.42191148749</v>
      </c>
      <c r="N26" s="535">
        <f t="shared" si="3"/>
        <v>119488.38958629832</v>
      </c>
      <c r="O26" s="535">
        <f t="shared" si="3"/>
        <v>121574.56299169849</v>
      </c>
      <c r="P26" s="535">
        <f t="shared" si="3"/>
        <v>123683.16599941209</v>
      </c>
      <c r="Q26" s="535">
        <f t="shared" si="3"/>
        <v>126087.14480698702</v>
      </c>
      <c r="R26" s="535">
        <f t="shared" si="3"/>
        <v>128241.28699374862</v>
      </c>
      <c r="S26" s="535">
        <f t="shared" si="3"/>
        <v>130613.48789943043</v>
      </c>
      <c r="T26" s="535">
        <f t="shared" si="3"/>
        <v>132815.3435903423</v>
      </c>
      <c r="U26" s="535">
        <f t="shared" si="3"/>
        <v>135247.5788676513</v>
      </c>
      <c r="V26" s="535">
        <f t="shared" si="3"/>
        <v>137696.85591666074</v>
      </c>
      <c r="W26" s="536">
        <f t="shared" si="3"/>
        <v>140172.77013063445</v>
      </c>
      <c r="X26" s="440"/>
    </row>
    <row r="27" spans="1:24" ht="15.75" thickBot="1">
      <c r="A27" s="514"/>
      <c r="B27" s="515"/>
      <c r="C27" s="537"/>
      <c r="D27" s="538"/>
      <c r="E27" s="538"/>
      <c r="F27" s="538"/>
      <c r="G27" s="538"/>
      <c r="H27" s="538"/>
      <c r="I27" s="538"/>
      <c r="J27" s="538"/>
      <c r="K27" s="538"/>
      <c r="L27" s="538"/>
      <c r="M27" s="538"/>
      <c r="N27" s="538"/>
      <c r="O27" s="538"/>
      <c r="P27" s="538"/>
      <c r="Q27" s="538"/>
      <c r="R27" s="538"/>
      <c r="S27" s="538"/>
      <c r="T27" s="538"/>
      <c r="U27" s="538"/>
      <c r="V27" s="538"/>
      <c r="W27" s="539"/>
      <c r="X27" s="440"/>
    </row>
    <row r="28" spans="1:24" ht="15">
      <c r="A28" s="440"/>
      <c r="B28" s="440"/>
      <c r="C28" s="440"/>
      <c r="D28" s="440"/>
      <c r="E28" s="440"/>
      <c r="F28" s="440"/>
      <c r="G28" s="440"/>
      <c r="H28" s="440"/>
      <c r="I28" s="440"/>
      <c r="J28" s="440"/>
      <c r="K28" s="440"/>
      <c r="L28" s="440"/>
      <c r="M28" s="440"/>
      <c r="N28" s="440"/>
      <c r="O28" s="440"/>
      <c r="P28" s="440"/>
      <c r="Q28" s="440"/>
      <c r="R28" s="440"/>
      <c r="S28" s="440"/>
      <c r="T28" s="440"/>
      <c r="U28" s="440"/>
      <c r="V28" s="440"/>
      <c r="W28" s="440"/>
      <c r="X28" s="440"/>
    </row>
    <row r="29" spans="1:24" ht="15">
      <c r="A29" s="440"/>
      <c r="B29" s="440"/>
      <c r="C29" s="440"/>
      <c r="D29" s="440"/>
      <c r="E29" s="440"/>
      <c r="F29" s="440"/>
      <c r="G29" s="440"/>
      <c r="H29" s="440"/>
      <c r="I29" s="440"/>
      <c r="J29" s="440"/>
      <c r="K29" s="440"/>
      <c r="L29" s="440"/>
      <c r="M29" s="440"/>
      <c r="N29" s="440"/>
      <c r="O29" s="440"/>
      <c r="P29" s="440"/>
      <c r="Q29" s="440"/>
      <c r="R29" s="440"/>
      <c r="S29" s="440"/>
      <c r="T29" s="440"/>
      <c r="U29" s="440"/>
      <c r="V29" s="440"/>
      <c r="W29" s="440"/>
      <c r="X29" s="440"/>
    </row>
  </sheetData>
  <sheetProtection password="FFA0" sheet="1" objects="1"/>
  <mergeCells count="5">
    <mergeCell ref="A2:W2"/>
    <mergeCell ref="A3:W3"/>
    <mergeCell ref="A4:W4"/>
    <mergeCell ref="A6:B8"/>
    <mergeCell ref="C6:W6"/>
  </mergeCells>
  <printOptions horizontalCentered="1" verticalCentered="1"/>
  <pageMargins left="0.31496062992125984" right="0.2362204724409449" top="1.3779527559055118" bottom="0.7480314960629921" header="0.31496062992125984" footer="0.31496062992125984"/>
  <pageSetup fitToHeight="1" fitToWidth="1" horizontalDpi="600" verticalDpi="600" orientation="landscape" paperSize="9" scale="75" r:id="rId2"/>
  <drawing r:id="rId1"/>
</worksheet>
</file>

<file path=xl/worksheets/sheet15.xml><?xml version="1.0" encoding="utf-8"?>
<worksheet xmlns="http://schemas.openxmlformats.org/spreadsheetml/2006/main" xmlns:r="http://schemas.openxmlformats.org/officeDocument/2006/relationships">
  <sheetPr codeName="Hoja15">
    <pageSetUpPr fitToPage="1"/>
  </sheetPr>
  <dimension ref="A1:X28"/>
  <sheetViews>
    <sheetView showGridLines="0" showZeros="0" zoomScaleSheetLayoutView="75" zoomScalePageLayoutView="0" workbookViewId="0" topLeftCell="A1">
      <pane ySplit="4" topLeftCell="A5" activePane="bottomLeft" state="frozen"/>
      <selection pane="topLeft" activeCell="K132" sqref="K132"/>
      <selection pane="bottomLeft" activeCell="M32" sqref="M32"/>
    </sheetView>
  </sheetViews>
  <sheetFormatPr defaultColWidth="11.421875" defaultRowHeight="15"/>
  <cols>
    <col min="1" max="1" width="3.00390625" style="234" bestFit="1" customWidth="1"/>
    <col min="2" max="2" width="31.421875" style="234" bestFit="1" customWidth="1"/>
    <col min="3" max="3" width="5.28125" style="234" bestFit="1" customWidth="1"/>
    <col min="4" max="4" width="10.140625" style="234" bestFit="1" customWidth="1"/>
    <col min="5" max="5" width="8.8515625" style="234" bestFit="1" customWidth="1"/>
    <col min="6" max="17" width="7.00390625" style="234" bestFit="1" customWidth="1"/>
    <col min="18" max="23" width="8.00390625" style="234" bestFit="1" customWidth="1"/>
    <col min="24" max="16384" width="11.421875" style="234" customWidth="1"/>
  </cols>
  <sheetData>
    <row r="1" spans="1:24" ht="26.25" customHeight="1" thickBot="1">
      <c r="A1" s="440"/>
      <c r="B1" s="440"/>
      <c r="C1" s="440"/>
      <c r="D1" s="440"/>
      <c r="E1" s="440"/>
      <c r="F1" s="440"/>
      <c r="G1" s="440"/>
      <c r="H1" s="440"/>
      <c r="I1" s="440"/>
      <c r="J1" s="440"/>
      <c r="K1" s="440"/>
      <c r="L1" s="440"/>
      <c r="M1" s="440"/>
      <c r="N1" s="440"/>
      <c r="O1" s="440"/>
      <c r="P1" s="440"/>
      <c r="Q1" s="440"/>
      <c r="R1" s="440"/>
      <c r="S1" s="440"/>
      <c r="T1" s="440"/>
      <c r="U1" s="440"/>
      <c r="V1" s="440"/>
      <c r="W1" s="440"/>
      <c r="X1" s="440"/>
    </row>
    <row r="2" spans="1:24" ht="15.75">
      <c r="A2" s="876" t="s">
        <v>148</v>
      </c>
      <c r="B2" s="877"/>
      <c r="C2" s="877"/>
      <c r="D2" s="877"/>
      <c r="E2" s="877"/>
      <c r="F2" s="877"/>
      <c r="G2" s="877"/>
      <c r="H2" s="877"/>
      <c r="I2" s="877"/>
      <c r="J2" s="877"/>
      <c r="K2" s="877"/>
      <c r="L2" s="877"/>
      <c r="M2" s="877"/>
      <c r="N2" s="877"/>
      <c r="O2" s="877"/>
      <c r="P2" s="877"/>
      <c r="Q2" s="877"/>
      <c r="R2" s="877"/>
      <c r="S2" s="877"/>
      <c r="T2" s="877"/>
      <c r="U2" s="877"/>
      <c r="V2" s="877"/>
      <c r="W2" s="878"/>
      <c r="X2" s="440"/>
    </row>
    <row r="3" spans="1:24" ht="15.75">
      <c r="A3" s="879" t="s">
        <v>351</v>
      </c>
      <c r="B3" s="880"/>
      <c r="C3" s="880"/>
      <c r="D3" s="880"/>
      <c r="E3" s="880"/>
      <c r="F3" s="880"/>
      <c r="G3" s="880"/>
      <c r="H3" s="880"/>
      <c r="I3" s="880"/>
      <c r="J3" s="880"/>
      <c r="K3" s="880"/>
      <c r="L3" s="880"/>
      <c r="M3" s="880"/>
      <c r="N3" s="880"/>
      <c r="O3" s="880"/>
      <c r="P3" s="880"/>
      <c r="Q3" s="880"/>
      <c r="R3" s="880"/>
      <c r="S3" s="880"/>
      <c r="T3" s="880"/>
      <c r="U3" s="880"/>
      <c r="V3" s="880"/>
      <c r="W3" s="881"/>
      <c r="X3" s="440"/>
    </row>
    <row r="4" spans="1:24" ht="15.75">
      <c r="A4" s="882" t="s">
        <v>32</v>
      </c>
      <c r="B4" s="883"/>
      <c r="C4" s="883"/>
      <c r="D4" s="883"/>
      <c r="E4" s="883"/>
      <c r="F4" s="883"/>
      <c r="G4" s="883"/>
      <c r="H4" s="883"/>
      <c r="I4" s="883"/>
      <c r="J4" s="883"/>
      <c r="K4" s="883"/>
      <c r="L4" s="883"/>
      <c r="M4" s="883"/>
      <c r="N4" s="883"/>
      <c r="O4" s="883"/>
      <c r="P4" s="883"/>
      <c r="Q4" s="883"/>
      <c r="R4" s="883"/>
      <c r="S4" s="883"/>
      <c r="T4" s="883"/>
      <c r="U4" s="883"/>
      <c r="V4" s="883"/>
      <c r="W4" s="884"/>
      <c r="X4" s="440"/>
    </row>
    <row r="5" spans="1:24" ht="15">
      <c r="A5" s="494"/>
      <c r="B5" s="495"/>
      <c r="C5" s="495"/>
      <c r="D5" s="495"/>
      <c r="E5" s="495"/>
      <c r="F5" s="495"/>
      <c r="G5" s="495"/>
      <c r="H5" s="495"/>
      <c r="I5" s="495"/>
      <c r="J5" s="495"/>
      <c r="K5" s="495"/>
      <c r="L5" s="495"/>
      <c r="M5" s="495"/>
      <c r="N5" s="495"/>
      <c r="O5" s="495"/>
      <c r="P5" s="495"/>
      <c r="Q5" s="495"/>
      <c r="R5" s="495"/>
      <c r="S5" s="495"/>
      <c r="T5" s="495"/>
      <c r="U5" s="495"/>
      <c r="V5" s="495"/>
      <c r="W5" s="188"/>
      <c r="X5" s="440"/>
    </row>
    <row r="6" spans="1:24" ht="12.75" customHeight="1">
      <c r="A6" s="867" t="s">
        <v>4</v>
      </c>
      <c r="B6" s="868"/>
      <c r="C6" s="873" t="s">
        <v>92</v>
      </c>
      <c r="D6" s="874"/>
      <c r="E6" s="874"/>
      <c r="F6" s="874"/>
      <c r="G6" s="874"/>
      <c r="H6" s="874"/>
      <c r="I6" s="874"/>
      <c r="J6" s="874"/>
      <c r="K6" s="874"/>
      <c r="L6" s="874"/>
      <c r="M6" s="874"/>
      <c r="N6" s="874"/>
      <c r="O6" s="874"/>
      <c r="P6" s="874"/>
      <c r="Q6" s="874"/>
      <c r="R6" s="874"/>
      <c r="S6" s="874"/>
      <c r="T6" s="874"/>
      <c r="U6" s="874"/>
      <c r="V6" s="874"/>
      <c r="W6" s="875"/>
      <c r="X6" s="440"/>
    </row>
    <row r="7" spans="1:24" ht="15">
      <c r="A7" s="869"/>
      <c r="B7" s="870"/>
      <c r="C7" s="8">
        <v>0</v>
      </c>
      <c r="D7" s="8">
        <v>1</v>
      </c>
      <c r="E7" s="8">
        <v>2</v>
      </c>
      <c r="F7" s="8">
        <v>3</v>
      </c>
      <c r="G7" s="8">
        <v>4</v>
      </c>
      <c r="H7" s="8">
        <v>5</v>
      </c>
      <c r="I7" s="8">
        <v>6</v>
      </c>
      <c r="J7" s="8">
        <v>7</v>
      </c>
      <c r="K7" s="8">
        <v>8</v>
      </c>
      <c r="L7" s="8">
        <v>9</v>
      </c>
      <c r="M7" s="8">
        <v>10</v>
      </c>
      <c r="N7" s="8">
        <v>11</v>
      </c>
      <c r="O7" s="8">
        <v>12</v>
      </c>
      <c r="P7" s="8">
        <v>13</v>
      </c>
      <c r="Q7" s="8">
        <v>14</v>
      </c>
      <c r="R7" s="8">
        <v>15</v>
      </c>
      <c r="S7" s="8">
        <v>16</v>
      </c>
      <c r="T7" s="8">
        <v>17</v>
      </c>
      <c r="U7" s="8">
        <v>18</v>
      </c>
      <c r="V7" s="8">
        <v>19</v>
      </c>
      <c r="W7" s="114">
        <v>20</v>
      </c>
      <c r="X7" s="440"/>
    </row>
    <row r="8" spans="1:24" ht="15">
      <c r="A8" s="871"/>
      <c r="B8" s="872"/>
      <c r="C8" s="8">
        <f>'F2'!C8</f>
        <v>2011</v>
      </c>
      <c r="D8" s="8">
        <f>+C8+1</f>
        <v>2012</v>
      </c>
      <c r="E8" s="8">
        <f aca="true" t="shared" si="0" ref="E8:W8">+D8+1</f>
        <v>2013</v>
      </c>
      <c r="F8" s="8">
        <f t="shared" si="0"/>
        <v>2014</v>
      </c>
      <c r="G8" s="8">
        <f t="shared" si="0"/>
        <v>2015</v>
      </c>
      <c r="H8" s="8">
        <f t="shared" si="0"/>
        <v>2016</v>
      </c>
      <c r="I8" s="8">
        <f t="shared" si="0"/>
        <v>2017</v>
      </c>
      <c r="J8" s="8">
        <f t="shared" si="0"/>
        <v>2018</v>
      </c>
      <c r="K8" s="8">
        <f t="shared" si="0"/>
        <v>2019</v>
      </c>
      <c r="L8" s="8">
        <f t="shared" si="0"/>
        <v>2020</v>
      </c>
      <c r="M8" s="8">
        <f t="shared" si="0"/>
        <v>2021</v>
      </c>
      <c r="N8" s="8">
        <f t="shared" si="0"/>
        <v>2022</v>
      </c>
      <c r="O8" s="8">
        <f t="shared" si="0"/>
        <v>2023</v>
      </c>
      <c r="P8" s="8">
        <f t="shared" si="0"/>
        <v>2024</v>
      </c>
      <c r="Q8" s="8">
        <f t="shared" si="0"/>
        <v>2025</v>
      </c>
      <c r="R8" s="8">
        <f t="shared" si="0"/>
        <v>2026</v>
      </c>
      <c r="S8" s="8">
        <f t="shared" si="0"/>
        <v>2027</v>
      </c>
      <c r="T8" s="8">
        <f t="shared" si="0"/>
        <v>2028</v>
      </c>
      <c r="U8" s="8">
        <f t="shared" si="0"/>
        <v>2029</v>
      </c>
      <c r="V8" s="8">
        <f t="shared" si="0"/>
        <v>2030</v>
      </c>
      <c r="W8" s="114">
        <f t="shared" si="0"/>
        <v>2031</v>
      </c>
      <c r="X8" s="440"/>
    </row>
    <row r="9" spans="1:24" ht="15">
      <c r="A9" s="473"/>
      <c r="B9" s="474"/>
      <c r="C9" s="523"/>
      <c r="D9" s="523"/>
      <c r="E9" s="523"/>
      <c r="F9" s="523"/>
      <c r="G9" s="523"/>
      <c r="H9" s="523"/>
      <c r="I9" s="523"/>
      <c r="J9" s="523"/>
      <c r="K9" s="523"/>
      <c r="L9" s="523"/>
      <c r="M9" s="523"/>
      <c r="N9" s="523"/>
      <c r="O9" s="523"/>
      <c r="P9" s="523"/>
      <c r="Q9" s="523"/>
      <c r="R9" s="523"/>
      <c r="S9" s="523"/>
      <c r="T9" s="523"/>
      <c r="U9" s="523"/>
      <c r="V9" s="523"/>
      <c r="W9" s="524"/>
      <c r="X9" s="440"/>
    </row>
    <row r="10" spans="1:24" ht="15">
      <c r="A10" s="458" t="s">
        <v>0</v>
      </c>
      <c r="B10" s="449" t="s">
        <v>10</v>
      </c>
      <c r="C10" s="453"/>
      <c r="D10" s="453"/>
      <c r="E10" s="453"/>
      <c r="F10" s="453"/>
      <c r="G10" s="453"/>
      <c r="H10" s="453"/>
      <c r="I10" s="453"/>
      <c r="J10" s="453"/>
      <c r="K10" s="453"/>
      <c r="L10" s="453"/>
      <c r="M10" s="453"/>
      <c r="N10" s="453"/>
      <c r="O10" s="453"/>
      <c r="P10" s="453"/>
      <c r="Q10" s="453"/>
      <c r="R10" s="453"/>
      <c r="S10" s="453"/>
      <c r="T10" s="453"/>
      <c r="U10" s="453"/>
      <c r="V10" s="453"/>
      <c r="W10" s="525"/>
      <c r="X10" s="440"/>
    </row>
    <row r="11" spans="1:24" ht="15">
      <c r="A11" s="497"/>
      <c r="B11" s="498" t="s">
        <v>149</v>
      </c>
      <c r="C11" s="526"/>
      <c r="D11" s="527">
        <f>'F2'!C37*TarFot*1.18*senTRes*FNP*12</f>
        <v>652794.19292376</v>
      </c>
      <c r="E11" s="527">
        <f>'F2'!D37*TarFot*1.18*senTRes*FNP*12</f>
        <v>661209.5876760001</v>
      </c>
      <c r="F11" s="527">
        <f>'F2'!E37*TarFot*1.18*senTRes*FNP*12</f>
        <v>668422.7831779199</v>
      </c>
      <c r="G11" s="527">
        <f>'F2'!F37*TarFot*1.18*senTRes*FNP*12</f>
        <v>676838.17793016</v>
      </c>
      <c r="H11" s="527">
        <f>'F2'!G37*TarFot*1.18*senTRes*FNP*12</f>
        <v>682849.17418176</v>
      </c>
      <c r="I11" s="527">
        <f>'F2'!H37*TarFot*1.18*senTRes*FNP*12</f>
        <v>691264.5689340001</v>
      </c>
      <c r="J11" s="527">
        <f>'F2'!I37*TarFot*1.18*senTRes*FNP*12</f>
        <v>699679.96368624</v>
      </c>
      <c r="K11" s="527">
        <f>'F2'!J37*TarFot*1.18*senTRes*FNP*12</f>
        <v>708095.3584384802</v>
      </c>
      <c r="L11" s="527">
        <f>'F2'!K37*TarFot*1.18*senTRes*FNP*12</f>
        <v>716510.75319072</v>
      </c>
      <c r="M11" s="527">
        <f>'F2'!L37*TarFot*1.18*senTRes*FNP*12</f>
        <v>724926.14794296</v>
      </c>
      <c r="N11" s="527">
        <f>'F2'!M37*TarFot*1.18*senTRes*FNP*12</f>
        <v>733341.5426952</v>
      </c>
      <c r="O11" s="527">
        <f>'F2'!N37*TarFot*1.18*senTRes*FNP*12</f>
        <v>741756.9374474401</v>
      </c>
      <c r="P11" s="527">
        <f>'F2'!O37*TarFot*1.18*senTRes*FNP*12</f>
        <v>750172.3321996799</v>
      </c>
      <c r="Q11" s="527">
        <f>'F2'!P37*TarFot*1.18*senTRes*FNP*12</f>
        <v>758587.72695192</v>
      </c>
      <c r="R11" s="527">
        <f>'F2'!Q37*TarFot*1.18*senTRes*FNP*12</f>
        <v>767003.1217041602</v>
      </c>
      <c r="S11" s="527">
        <f>'F2'!R37*TarFot*1.18*senTRes*FNP*12</f>
        <v>776620.71570672</v>
      </c>
      <c r="T11" s="527">
        <f>'F2'!S37*TarFot*1.18*senTRes*FNP*12</f>
        <v>785036.11045896</v>
      </c>
      <c r="U11" s="527">
        <f>'F2'!T37*TarFot*1.18*senTRes*FNP*12</f>
        <v>794653.7044615201</v>
      </c>
      <c r="V11" s="527">
        <f>'F2'!U37*TarFot*1.18*senTRes*FNP*12</f>
        <v>804271.2984640801</v>
      </c>
      <c r="W11" s="528">
        <f>'F2'!V37*TarFot*1.18*senTRes*FNP*12</f>
        <v>813888.8924666401</v>
      </c>
      <c r="X11" s="440"/>
    </row>
    <row r="12" spans="1:24" ht="15">
      <c r="A12" s="500"/>
      <c r="B12" s="498" t="s">
        <v>150</v>
      </c>
      <c r="C12" s="529"/>
      <c r="D12" s="527">
        <f>'F2'!C38*TarfotUS*1.18*FNP*12</f>
        <v>0</v>
      </c>
      <c r="E12" s="527">
        <f>'F2'!D38*TarfotUS*1.18*FNP*12</f>
        <v>0</v>
      </c>
      <c r="F12" s="527">
        <f>'F2'!E38*TarfotUS*1.18*FNP*12</f>
        <v>0</v>
      </c>
      <c r="G12" s="527">
        <f>'F2'!F38*TarfotUS*1.18*FNP*12</f>
        <v>0</v>
      </c>
      <c r="H12" s="527">
        <f>'F2'!G38*TarfotUS*1.18*FNP*12</f>
        <v>0</v>
      </c>
      <c r="I12" s="527">
        <f>'F2'!H38*TarfotUS*1.18*FNP*12</f>
        <v>0</v>
      </c>
      <c r="J12" s="527">
        <f>'F2'!I38*TarfotUS*1.18*FNP*12</f>
        <v>0</v>
      </c>
      <c r="K12" s="527">
        <f>'F2'!J38*TarfotUS*1.18*FNP*12</f>
        <v>0</v>
      </c>
      <c r="L12" s="527">
        <f>'F2'!K38*TarfotUS*1.18*FNP*12</f>
        <v>0</v>
      </c>
      <c r="M12" s="527">
        <f>'F2'!L38*TarfotUS*1.18*FNP*12</f>
        <v>0</v>
      </c>
      <c r="N12" s="527">
        <f>'F2'!M38*TarfotUS*1.18*FNP*12</f>
        <v>0</v>
      </c>
      <c r="O12" s="527">
        <f>'F2'!N38*TarfotUS*1.18*FNP*12</f>
        <v>0</v>
      </c>
      <c r="P12" s="527">
        <f>'F2'!O38*TarfotUS*1.18*FNP*12</f>
        <v>0</v>
      </c>
      <c r="Q12" s="527">
        <f>'F2'!P38*TarfotUS*1.18*FNP*12</f>
        <v>0</v>
      </c>
      <c r="R12" s="527">
        <f>'F2'!Q38*TarfotUS*1.18*FNP*12</f>
        <v>0</v>
      </c>
      <c r="S12" s="527">
        <f>'F2'!R38*TarfotUS*1.18*FNP*12</f>
        <v>0</v>
      </c>
      <c r="T12" s="527">
        <f>'F2'!S38*TarfotUS*1.18*FNP*12</f>
        <v>0</v>
      </c>
      <c r="U12" s="527">
        <f>'F2'!T38*TarfotUS*1.18*FNP*12</f>
        <v>0</v>
      </c>
      <c r="V12" s="527">
        <f>'F2'!U38*TarfotUS*1.18*FNP*12</f>
        <v>0</v>
      </c>
      <c r="W12" s="528">
        <f>'F2'!V38*TarfotUS*1.18*FNP*12</f>
        <v>0</v>
      </c>
      <c r="X12" s="440"/>
    </row>
    <row r="13" spans="1:24" ht="15">
      <c r="A13" s="500"/>
      <c r="B13" s="498" t="s">
        <v>152</v>
      </c>
      <c r="C13" s="529"/>
      <c r="D13" s="527">
        <f>'F2'!C39*TarfotUS*1.18*FNP*12</f>
        <v>16256.014331759998</v>
      </c>
      <c r="E13" s="527">
        <f>'F2'!D39*TarfotUS*1.18*FNP*12</f>
        <v>16256.014331759998</v>
      </c>
      <c r="F13" s="527">
        <f>'F2'!E39*TarfotUS*1.18*FNP*12</f>
        <v>16256.014331759998</v>
      </c>
      <c r="G13" s="527">
        <f>'F2'!F39*TarfotUS*1.18*FNP*12</f>
        <v>16256.014331759998</v>
      </c>
      <c r="H13" s="527">
        <f>'F2'!G39*TarfotUS*1.18*FNP*12</f>
        <v>18062.2381464</v>
      </c>
      <c r="I13" s="527">
        <f>'F2'!H39*TarfotUS*1.18*FNP*12</f>
        <v>18062.2381464</v>
      </c>
      <c r="J13" s="527">
        <f>'F2'!I39*TarfotUS*1.18*FNP*12</f>
        <v>18062.2381464</v>
      </c>
      <c r="K13" s="527">
        <f>'F2'!J39*TarfotUS*1.18*FNP*12</f>
        <v>18062.2381464</v>
      </c>
      <c r="L13" s="527">
        <f>'F2'!K39*TarfotUS*1.18*FNP*12</f>
        <v>18062.2381464</v>
      </c>
      <c r="M13" s="527">
        <f>'F2'!L39*TarfotUS*1.18*FNP*12</f>
        <v>18062.2381464</v>
      </c>
      <c r="N13" s="527">
        <f>'F2'!M39*TarfotUS*1.18*FNP*12</f>
        <v>18062.2381464</v>
      </c>
      <c r="O13" s="527">
        <f>'F2'!N39*TarfotUS*1.18*FNP*12</f>
        <v>18062.2381464</v>
      </c>
      <c r="P13" s="527">
        <f>'F2'!O39*TarfotUS*1.18*FNP*12</f>
        <v>18062.2381464</v>
      </c>
      <c r="Q13" s="527">
        <f>'F2'!P39*TarfotUS*1.18*FNP*12</f>
        <v>19868.461961039997</v>
      </c>
      <c r="R13" s="527">
        <f>'F2'!Q39*TarfotUS*1.18*FNP*12</f>
        <v>19868.461961039997</v>
      </c>
      <c r="S13" s="527">
        <f>'F2'!R39*TarfotUS*1.18*FNP*12</f>
        <v>19868.461961039997</v>
      </c>
      <c r="T13" s="527">
        <f>'F2'!S39*TarfotUS*1.18*FNP*12</f>
        <v>19868.461961039997</v>
      </c>
      <c r="U13" s="527">
        <f>'F2'!T39*TarfotUS*1.18*FNP*12</f>
        <v>19868.461961039997</v>
      </c>
      <c r="V13" s="527">
        <f>'F2'!U39*TarfotUS*1.18*FNP*12</f>
        <v>19868.461961039997</v>
      </c>
      <c r="W13" s="528">
        <f>'F2'!V39*TarfotUS*1.18*FNP*12</f>
        <v>19868.461961039997</v>
      </c>
      <c r="X13" s="440"/>
    </row>
    <row r="14" spans="1:24" ht="15">
      <c r="A14" s="500"/>
      <c r="B14" s="498" t="s">
        <v>151</v>
      </c>
      <c r="C14" s="529"/>
      <c r="D14" s="527">
        <f>'F2'!C40*TarfotUS*1.18*FNP*12</f>
        <v>0</v>
      </c>
      <c r="E14" s="527">
        <f>'F2'!D40*TarfotUS*1.18*FNP*12</f>
        <v>0</v>
      </c>
      <c r="F14" s="527">
        <f>'F2'!E40*TarfotUS*1.18*FNP*12</f>
        <v>0</v>
      </c>
      <c r="G14" s="527">
        <f>'F2'!F40*TarfotUS*1.18*FNP*12</f>
        <v>0</v>
      </c>
      <c r="H14" s="527">
        <f>'F2'!G40*TarfotUS*1.18*FNP*12</f>
        <v>0</v>
      </c>
      <c r="I14" s="527">
        <f>'F2'!H40*TarfotUS*1.18*FNP*12</f>
        <v>0</v>
      </c>
      <c r="J14" s="527">
        <f>'F2'!I40*TarfotUS*1.18*FNP*12</f>
        <v>0</v>
      </c>
      <c r="K14" s="527">
        <f>'F2'!J40*TarfotUS*1.18*FNP*12</f>
        <v>0</v>
      </c>
      <c r="L14" s="527">
        <f>'F2'!K40*TarfotUS*1.18*FNP*12</f>
        <v>0</v>
      </c>
      <c r="M14" s="527">
        <f>'F2'!L40*TarfotUS*1.18*FNP*12</f>
        <v>0</v>
      </c>
      <c r="N14" s="527">
        <f>'F2'!M40*TarfotUS*1.18*FNP*12</f>
        <v>0</v>
      </c>
      <c r="O14" s="527">
        <f>'F2'!N40*TarfotUS*1.18*FNP*12</f>
        <v>0</v>
      </c>
      <c r="P14" s="527">
        <f>'F2'!O40*TarfotUS*1.18*FNP*12</f>
        <v>0</v>
      </c>
      <c r="Q14" s="527">
        <f>'F2'!P40*TarfotUS*1.18*FNP*12</f>
        <v>0</v>
      </c>
      <c r="R14" s="527">
        <f>'F2'!Q40*TarfotUS*1.18*FNP*12</f>
        <v>0</v>
      </c>
      <c r="S14" s="527">
        <f>'F2'!R40*TarfotUS*1.18*FNP*12</f>
        <v>0</v>
      </c>
      <c r="T14" s="527">
        <f>'F2'!S40*TarfotUS*1.18*FNP*12</f>
        <v>0</v>
      </c>
      <c r="U14" s="527">
        <f>'F2'!T40*TarfotUS*1.18*FNP*12</f>
        <v>0</v>
      </c>
      <c r="V14" s="527">
        <f>'F2'!U40*TarfotUS*1.18*FNP*12</f>
        <v>0</v>
      </c>
      <c r="W14" s="528">
        <f>'F2'!V40*TarfotUS*1.18*FNP*12</f>
        <v>0</v>
      </c>
      <c r="X14" s="440"/>
    </row>
    <row r="15" spans="1:24" ht="15">
      <c r="A15" s="500"/>
      <c r="B15" s="498" t="s">
        <v>153</v>
      </c>
      <c r="C15" s="529"/>
      <c r="D15" s="530">
        <f>'F2'!C57*TarFot*1.18*FNP*12</f>
        <v>0</v>
      </c>
      <c r="E15" s="530">
        <f>'F2'!D57*TarFot*1.18*FNP*12</f>
        <v>0</v>
      </c>
      <c r="F15" s="530">
        <f>'F2'!E57*TarFot*1.18*FNP*12</f>
        <v>0</v>
      </c>
      <c r="G15" s="530">
        <f>'F2'!F57*TarFot*1.18*FNP*12</f>
        <v>0</v>
      </c>
      <c r="H15" s="530">
        <f>'F2'!G57*TarFot*1.18*FNP*12</f>
        <v>0</v>
      </c>
      <c r="I15" s="530">
        <f>'F2'!H57*TarFot*1.18*FNP*12</f>
        <v>0</v>
      </c>
      <c r="J15" s="530">
        <f>'F2'!I57*TarFot*1.18*FNP*12</f>
        <v>0</v>
      </c>
      <c r="K15" s="530">
        <f>'F2'!J57*TarFot*1.18*FNP*12</f>
        <v>0</v>
      </c>
      <c r="L15" s="530">
        <f>'F2'!K57*TarFot*1.18*FNP*12</f>
        <v>0</v>
      </c>
      <c r="M15" s="530">
        <f>'F2'!L57*TarFot*1.18*FNP*12</f>
        <v>0</v>
      </c>
      <c r="N15" s="530">
        <f>'F2'!M57*TarFot*1.18*FNP*12</f>
        <v>0</v>
      </c>
      <c r="O15" s="530">
        <f>'F2'!N57*TarFot*1.18*FNP*12</f>
        <v>0</v>
      </c>
      <c r="P15" s="530">
        <f>'F2'!O57*TarFot*1.18*FNP*12</f>
        <v>0</v>
      </c>
      <c r="Q15" s="530">
        <f>'F2'!P57*TarFot*1.18*FNP*12</f>
        <v>0</v>
      </c>
      <c r="R15" s="530">
        <f>'F2'!Q57*TarFot*1.18*FNP*12</f>
        <v>0</v>
      </c>
      <c r="S15" s="530">
        <f>'F2'!R57*TarFot*1.18*FNP*12</f>
        <v>0</v>
      </c>
      <c r="T15" s="530">
        <f>'F2'!S57*TarFot*1.18*FNP*12</f>
        <v>0</v>
      </c>
      <c r="U15" s="530">
        <f>'F2'!T57*TarFot*1.18*FNP*12</f>
        <v>0</v>
      </c>
      <c r="V15" s="530">
        <f>'F2'!U57*TarFot*1.18*FNP*12</f>
        <v>0</v>
      </c>
      <c r="W15" s="531">
        <f>'F2'!V57*TarFot*1.18*FNP*12</f>
        <v>0</v>
      </c>
      <c r="X15" s="440"/>
    </row>
    <row r="16" spans="1:24" ht="6" customHeight="1">
      <c r="A16" s="500"/>
      <c r="B16" s="498"/>
      <c r="C16" s="529"/>
      <c r="D16" s="530"/>
      <c r="E16" s="530"/>
      <c r="F16" s="530"/>
      <c r="G16" s="530"/>
      <c r="H16" s="530"/>
      <c r="I16" s="530"/>
      <c r="J16" s="530"/>
      <c r="K16" s="530"/>
      <c r="L16" s="530"/>
      <c r="M16" s="530"/>
      <c r="N16" s="530"/>
      <c r="O16" s="530"/>
      <c r="P16" s="530"/>
      <c r="Q16" s="530"/>
      <c r="R16" s="530"/>
      <c r="S16" s="530"/>
      <c r="T16" s="530"/>
      <c r="U16" s="530"/>
      <c r="V16" s="530"/>
      <c r="W16" s="531"/>
      <c r="X16" s="440"/>
    </row>
    <row r="17" spans="1:24" ht="15">
      <c r="A17" s="500"/>
      <c r="B17" s="501" t="s">
        <v>154</v>
      </c>
      <c r="C17" s="529"/>
      <c r="D17" s="530">
        <f>SUM(D11:D16)</f>
        <v>669050.20725552</v>
      </c>
      <c r="E17" s="530">
        <f aca="true" t="shared" si="1" ref="E17:W17">SUM(E11:E16)</f>
        <v>677465.6020077601</v>
      </c>
      <c r="F17" s="530">
        <f t="shared" si="1"/>
        <v>684678.7975096799</v>
      </c>
      <c r="G17" s="530">
        <f t="shared" si="1"/>
        <v>693094.19226192</v>
      </c>
      <c r="H17" s="530">
        <f t="shared" si="1"/>
        <v>700911.41232816</v>
      </c>
      <c r="I17" s="530">
        <f t="shared" si="1"/>
        <v>709326.8070804001</v>
      </c>
      <c r="J17" s="530">
        <f t="shared" si="1"/>
        <v>717742.20183264</v>
      </c>
      <c r="K17" s="530">
        <f t="shared" si="1"/>
        <v>726157.5965848801</v>
      </c>
      <c r="L17" s="530">
        <f t="shared" si="1"/>
        <v>734572.99133712</v>
      </c>
      <c r="M17" s="530">
        <f t="shared" si="1"/>
        <v>742988.38608936</v>
      </c>
      <c r="N17" s="530">
        <f t="shared" si="1"/>
        <v>751403.7808415999</v>
      </c>
      <c r="O17" s="530">
        <f t="shared" si="1"/>
        <v>759819.1755938401</v>
      </c>
      <c r="P17" s="530">
        <f t="shared" si="1"/>
        <v>768234.5703460799</v>
      </c>
      <c r="Q17" s="530">
        <f t="shared" si="1"/>
        <v>778456.18891296</v>
      </c>
      <c r="R17" s="530">
        <f t="shared" si="1"/>
        <v>786871.5836652003</v>
      </c>
      <c r="S17" s="530">
        <f t="shared" si="1"/>
        <v>796489.17766776</v>
      </c>
      <c r="T17" s="530">
        <f t="shared" si="1"/>
        <v>804904.5724200001</v>
      </c>
      <c r="U17" s="530">
        <f t="shared" si="1"/>
        <v>814522.1664225601</v>
      </c>
      <c r="V17" s="530">
        <f t="shared" si="1"/>
        <v>824139.7604251201</v>
      </c>
      <c r="W17" s="531">
        <f t="shared" si="1"/>
        <v>833757.3544276801</v>
      </c>
      <c r="X17" s="440"/>
    </row>
    <row r="18" spans="1:24" ht="15">
      <c r="A18" s="473"/>
      <c r="B18" s="474"/>
      <c r="C18" s="523"/>
      <c r="D18" s="530"/>
      <c r="E18" s="231"/>
      <c r="F18" s="231"/>
      <c r="G18" s="231"/>
      <c r="H18" s="231"/>
      <c r="I18" s="231"/>
      <c r="J18" s="231"/>
      <c r="K18" s="231"/>
      <c r="L18" s="231"/>
      <c r="M18" s="231"/>
      <c r="N18" s="231"/>
      <c r="O18" s="231"/>
      <c r="P18" s="231"/>
      <c r="Q18" s="231"/>
      <c r="R18" s="231"/>
      <c r="S18" s="231"/>
      <c r="T18" s="231"/>
      <c r="U18" s="231"/>
      <c r="V18" s="231"/>
      <c r="W18" s="532"/>
      <c r="X18" s="440"/>
    </row>
    <row r="19" spans="1:24" ht="15">
      <c r="A19" s="458" t="s">
        <v>1</v>
      </c>
      <c r="B19" s="449" t="s">
        <v>11</v>
      </c>
      <c r="C19" s="453"/>
      <c r="D19" s="533"/>
      <c r="E19" s="230"/>
      <c r="F19" s="230"/>
      <c r="G19" s="230"/>
      <c r="H19" s="230"/>
      <c r="I19" s="230"/>
      <c r="J19" s="230"/>
      <c r="K19" s="230"/>
      <c r="L19" s="230"/>
      <c r="M19" s="230"/>
      <c r="N19" s="230"/>
      <c r="O19" s="230"/>
      <c r="P19" s="230"/>
      <c r="Q19" s="230"/>
      <c r="R19" s="230"/>
      <c r="S19" s="230"/>
      <c r="T19" s="230"/>
      <c r="U19" s="230"/>
      <c r="V19" s="230"/>
      <c r="W19" s="450"/>
      <c r="X19" s="440"/>
    </row>
    <row r="20" spans="1:24" ht="15">
      <c r="A20" s="458"/>
      <c r="B20" s="498"/>
      <c r="C20" s="526"/>
      <c r="D20" s="527"/>
      <c r="E20" s="527"/>
      <c r="F20" s="527"/>
      <c r="G20" s="527"/>
      <c r="H20" s="527"/>
      <c r="I20" s="527"/>
      <c r="J20" s="527"/>
      <c r="K20" s="527"/>
      <c r="L20" s="527"/>
      <c r="M20" s="527"/>
      <c r="N20" s="527"/>
      <c r="O20" s="527"/>
      <c r="P20" s="527"/>
      <c r="Q20" s="527"/>
      <c r="R20" s="527"/>
      <c r="S20" s="527"/>
      <c r="T20" s="527"/>
      <c r="U20" s="527"/>
      <c r="V20" s="527"/>
      <c r="W20" s="528"/>
      <c r="X20" s="440"/>
    </row>
    <row r="21" spans="1:24" ht="15">
      <c r="A21" s="458"/>
      <c r="B21" s="498"/>
      <c r="C21" s="526"/>
      <c r="D21" s="527"/>
      <c r="E21" s="527"/>
      <c r="F21" s="527"/>
      <c r="G21" s="527"/>
      <c r="H21" s="527"/>
      <c r="I21" s="527"/>
      <c r="J21" s="527"/>
      <c r="K21" s="527"/>
      <c r="L21" s="527"/>
      <c r="M21" s="527"/>
      <c r="N21" s="527"/>
      <c r="O21" s="527"/>
      <c r="P21" s="527"/>
      <c r="Q21" s="527"/>
      <c r="R21" s="527"/>
      <c r="S21" s="527"/>
      <c r="T21" s="527"/>
      <c r="U21" s="527"/>
      <c r="V21" s="527"/>
      <c r="W21" s="528"/>
      <c r="X21" s="440"/>
    </row>
    <row r="22" spans="1:24" ht="15">
      <c r="A22" s="458"/>
      <c r="B22" s="498" t="s">
        <v>155</v>
      </c>
      <c r="C22" s="526"/>
      <c r="D22" s="527">
        <f aca="true" t="shared" si="2" ref="D22:W22">SUM(D20:D21)</f>
        <v>0</v>
      </c>
      <c r="E22" s="527">
        <f t="shared" si="2"/>
        <v>0</v>
      </c>
      <c r="F22" s="527">
        <f t="shared" si="2"/>
        <v>0</v>
      </c>
      <c r="G22" s="527">
        <f t="shared" si="2"/>
        <v>0</v>
      </c>
      <c r="H22" s="527">
        <f t="shared" si="2"/>
        <v>0</v>
      </c>
      <c r="I22" s="527">
        <f t="shared" si="2"/>
        <v>0</v>
      </c>
      <c r="J22" s="527">
        <f t="shared" si="2"/>
        <v>0</v>
      </c>
      <c r="K22" s="527">
        <f t="shared" si="2"/>
        <v>0</v>
      </c>
      <c r="L22" s="527">
        <f t="shared" si="2"/>
        <v>0</v>
      </c>
      <c r="M22" s="527">
        <f t="shared" si="2"/>
        <v>0</v>
      </c>
      <c r="N22" s="527">
        <f t="shared" si="2"/>
        <v>0</v>
      </c>
      <c r="O22" s="527">
        <f t="shared" si="2"/>
        <v>0</v>
      </c>
      <c r="P22" s="527">
        <f t="shared" si="2"/>
        <v>0</v>
      </c>
      <c r="Q22" s="527">
        <f t="shared" si="2"/>
        <v>0</v>
      </c>
      <c r="R22" s="527">
        <f t="shared" si="2"/>
        <v>0</v>
      </c>
      <c r="S22" s="527">
        <f t="shared" si="2"/>
        <v>0</v>
      </c>
      <c r="T22" s="527">
        <f t="shared" si="2"/>
        <v>0</v>
      </c>
      <c r="U22" s="527">
        <f t="shared" si="2"/>
        <v>0</v>
      </c>
      <c r="V22" s="527">
        <f t="shared" si="2"/>
        <v>0</v>
      </c>
      <c r="W22" s="528">
        <f t="shared" si="2"/>
        <v>0</v>
      </c>
      <c r="X22" s="440"/>
    </row>
    <row r="23" spans="1:24" ht="15">
      <c r="A23" s="458"/>
      <c r="B23" s="449"/>
      <c r="C23" s="453"/>
      <c r="D23" s="230"/>
      <c r="E23" s="230"/>
      <c r="F23" s="230"/>
      <c r="G23" s="230"/>
      <c r="H23" s="230"/>
      <c r="I23" s="230"/>
      <c r="J23" s="230"/>
      <c r="K23" s="230"/>
      <c r="L23" s="230"/>
      <c r="M23" s="230"/>
      <c r="N23" s="230"/>
      <c r="O23" s="230"/>
      <c r="P23" s="230"/>
      <c r="Q23" s="230"/>
      <c r="R23" s="230"/>
      <c r="S23" s="230"/>
      <c r="T23" s="230"/>
      <c r="U23" s="230"/>
      <c r="V23" s="230"/>
      <c r="W23" s="450"/>
      <c r="X23" s="440"/>
    </row>
    <row r="24" spans="1:24" ht="15">
      <c r="A24" s="473"/>
      <c r="B24" s="474"/>
      <c r="C24" s="523"/>
      <c r="D24" s="231"/>
      <c r="E24" s="231"/>
      <c r="F24" s="231"/>
      <c r="G24" s="231"/>
      <c r="H24" s="231"/>
      <c r="I24" s="231"/>
      <c r="J24" s="231"/>
      <c r="K24" s="231"/>
      <c r="L24" s="231"/>
      <c r="M24" s="231"/>
      <c r="N24" s="231"/>
      <c r="O24" s="231"/>
      <c r="P24" s="231"/>
      <c r="Q24" s="231"/>
      <c r="R24" s="231"/>
      <c r="S24" s="231"/>
      <c r="T24" s="231"/>
      <c r="U24" s="231"/>
      <c r="V24" s="231"/>
      <c r="W24" s="532"/>
      <c r="X24" s="440"/>
    </row>
    <row r="25" spans="1:24" ht="15">
      <c r="A25" s="458" t="s">
        <v>8</v>
      </c>
      <c r="B25" s="511" t="s">
        <v>26</v>
      </c>
      <c r="C25" s="534"/>
      <c r="D25" s="535">
        <f>+D17-D22</f>
        <v>669050.20725552</v>
      </c>
      <c r="E25" s="535">
        <f aca="true" t="shared" si="3" ref="E25:W25">+E17-E22</f>
        <v>677465.6020077601</v>
      </c>
      <c r="F25" s="535">
        <f t="shared" si="3"/>
        <v>684678.7975096799</v>
      </c>
      <c r="G25" s="535">
        <f t="shared" si="3"/>
        <v>693094.19226192</v>
      </c>
      <c r="H25" s="535">
        <f t="shared" si="3"/>
        <v>700911.41232816</v>
      </c>
      <c r="I25" s="535">
        <f t="shared" si="3"/>
        <v>709326.8070804001</v>
      </c>
      <c r="J25" s="535">
        <f t="shared" si="3"/>
        <v>717742.20183264</v>
      </c>
      <c r="K25" s="535">
        <f t="shared" si="3"/>
        <v>726157.5965848801</v>
      </c>
      <c r="L25" s="535">
        <f t="shared" si="3"/>
        <v>734572.99133712</v>
      </c>
      <c r="M25" s="535">
        <f t="shared" si="3"/>
        <v>742988.38608936</v>
      </c>
      <c r="N25" s="535">
        <f t="shared" si="3"/>
        <v>751403.7808415999</v>
      </c>
      <c r="O25" s="535">
        <f t="shared" si="3"/>
        <v>759819.1755938401</v>
      </c>
      <c r="P25" s="535">
        <f t="shared" si="3"/>
        <v>768234.5703460799</v>
      </c>
      <c r="Q25" s="535">
        <f t="shared" si="3"/>
        <v>778456.18891296</v>
      </c>
      <c r="R25" s="535">
        <f t="shared" si="3"/>
        <v>786871.5836652003</v>
      </c>
      <c r="S25" s="535">
        <f t="shared" si="3"/>
        <v>796489.17766776</v>
      </c>
      <c r="T25" s="535">
        <f t="shared" si="3"/>
        <v>804904.5724200001</v>
      </c>
      <c r="U25" s="535">
        <f t="shared" si="3"/>
        <v>814522.1664225601</v>
      </c>
      <c r="V25" s="535">
        <f t="shared" si="3"/>
        <v>824139.7604251201</v>
      </c>
      <c r="W25" s="536">
        <f t="shared" si="3"/>
        <v>833757.3544276801</v>
      </c>
      <c r="X25" s="440"/>
    </row>
    <row r="26" spans="1:24" ht="15.75" thickBot="1">
      <c r="A26" s="514"/>
      <c r="B26" s="515"/>
      <c r="C26" s="537"/>
      <c r="D26" s="538"/>
      <c r="E26" s="538"/>
      <c r="F26" s="538"/>
      <c r="G26" s="538"/>
      <c r="H26" s="538"/>
      <c r="I26" s="538"/>
      <c r="J26" s="538"/>
      <c r="K26" s="538"/>
      <c r="L26" s="538"/>
      <c r="M26" s="538"/>
      <c r="N26" s="538"/>
      <c r="O26" s="538"/>
      <c r="P26" s="538"/>
      <c r="Q26" s="538"/>
      <c r="R26" s="538"/>
      <c r="S26" s="538"/>
      <c r="T26" s="538"/>
      <c r="U26" s="538"/>
      <c r="V26" s="538"/>
      <c r="W26" s="539"/>
      <c r="X26" s="440"/>
    </row>
    <row r="27" spans="1:24" ht="15">
      <c r="A27" s="440"/>
      <c r="B27" s="440"/>
      <c r="C27" s="440"/>
      <c r="D27" s="440"/>
      <c r="E27" s="440"/>
      <c r="F27" s="440"/>
      <c r="G27" s="440"/>
      <c r="H27" s="440"/>
      <c r="I27" s="440"/>
      <c r="J27" s="440"/>
      <c r="K27" s="440"/>
      <c r="L27" s="440"/>
      <c r="M27" s="440"/>
      <c r="N27" s="440"/>
      <c r="O27" s="440"/>
      <c r="P27" s="440"/>
      <c r="Q27" s="440"/>
      <c r="R27" s="440"/>
      <c r="S27" s="440"/>
      <c r="T27" s="440"/>
      <c r="U27" s="440"/>
      <c r="V27" s="440"/>
      <c r="W27" s="440"/>
      <c r="X27" s="440"/>
    </row>
    <row r="28" spans="1:24" ht="15">
      <c r="A28" s="440"/>
      <c r="B28" s="440"/>
      <c r="C28" s="440"/>
      <c r="D28" s="440"/>
      <c r="E28" s="440"/>
      <c r="F28" s="440"/>
      <c r="G28" s="440"/>
      <c r="H28" s="440"/>
      <c r="I28" s="440"/>
      <c r="J28" s="440"/>
      <c r="K28" s="440"/>
      <c r="L28" s="440"/>
      <c r="M28" s="440"/>
      <c r="N28" s="440"/>
      <c r="O28" s="440"/>
      <c r="P28" s="440"/>
      <c r="Q28" s="440"/>
      <c r="R28" s="440"/>
      <c r="S28" s="440"/>
      <c r="T28" s="440"/>
      <c r="U28" s="440"/>
      <c r="V28" s="440"/>
      <c r="W28" s="440"/>
      <c r="X28" s="440"/>
    </row>
  </sheetData>
  <sheetProtection password="FFA0" sheet="1" objects="1"/>
  <mergeCells count="5">
    <mergeCell ref="A2:W2"/>
    <mergeCell ref="A3:W3"/>
    <mergeCell ref="A4:W4"/>
    <mergeCell ref="A6:B8"/>
    <mergeCell ref="C6:W6"/>
  </mergeCells>
  <printOptions horizontalCentered="1" verticalCentered="1"/>
  <pageMargins left="0.31496062992125984" right="0.2362204724409449" top="1.3779527559055118" bottom="0.7480314960629921" header="0.31496062992125984" footer="0.31496062992125984"/>
  <pageSetup fitToHeight="1" fitToWidth="1" horizontalDpi="600" verticalDpi="600" orientation="landscape" paperSize="9" scale="74" r:id="rId2"/>
  <drawing r:id="rId1"/>
</worksheet>
</file>

<file path=xl/worksheets/sheet16.xml><?xml version="1.0" encoding="utf-8"?>
<worksheet xmlns="http://schemas.openxmlformats.org/spreadsheetml/2006/main" xmlns:r="http://schemas.openxmlformats.org/officeDocument/2006/relationships">
  <sheetPr codeName="Hoja20">
    <pageSetUpPr fitToPage="1"/>
  </sheetPr>
  <dimension ref="A1:X39"/>
  <sheetViews>
    <sheetView showGridLines="0" showZeros="0" zoomScale="86" zoomScaleNormal="86" zoomScaleSheetLayoutView="75" zoomScalePageLayoutView="0" workbookViewId="0" topLeftCell="A1">
      <pane ySplit="1" topLeftCell="A2" activePane="bottomLeft" state="frozen"/>
      <selection pane="topLeft" activeCell="K132" sqref="K132"/>
      <selection pane="bottomLeft" activeCell="F48" sqref="F48"/>
    </sheetView>
  </sheetViews>
  <sheetFormatPr defaultColWidth="11.421875" defaultRowHeight="15"/>
  <cols>
    <col min="1" max="1" width="3.00390625" style="234" bestFit="1" customWidth="1"/>
    <col min="2" max="2" width="27.8515625" style="234" bestFit="1" customWidth="1"/>
    <col min="3" max="3" width="7.140625" style="234" customWidth="1"/>
    <col min="4" max="4" width="9.421875" style="234" bestFit="1" customWidth="1"/>
    <col min="5" max="5" width="10.00390625" style="234" bestFit="1" customWidth="1"/>
    <col min="6" max="23" width="10.57421875" style="234" customWidth="1"/>
    <col min="24" max="16384" width="11.421875" style="234" customWidth="1"/>
  </cols>
  <sheetData>
    <row r="1" spans="1:24" ht="26.25" customHeight="1" thickBot="1">
      <c r="A1" s="440"/>
      <c r="B1" s="440"/>
      <c r="C1" s="440"/>
      <c r="D1" s="440"/>
      <c r="E1" s="440"/>
      <c r="F1" s="440"/>
      <c r="G1" s="440"/>
      <c r="H1" s="440"/>
      <c r="I1" s="440"/>
      <c r="J1" s="440"/>
      <c r="K1" s="440"/>
      <c r="L1" s="440"/>
      <c r="M1" s="440"/>
      <c r="N1" s="440"/>
      <c r="O1" s="440"/>
      <c r="P1" s="440"/>
      <c r="Q1" s="440"/>
      <c r="R1" s="440"/>
      <c r="S1" s="440"/>
      <c r="T1" s="440"/>
      <c r="U1" s="440"/>
      <c r="V1" s="440"/>
      <c r="W1" s="440"/>
      <c r="X1" s="440"/>
    </row>
    <row r="2" spans="1:24" ht="15.75">
      <c r="A2" s="876" t="s">
        <v>157</v>
      </c>
      <c r="B2" s="877"/>
      <c r="C2" s="877"/>
      <c r="D2" s="877"/>
      <c r="E2" s="877"/>
      <c r="F2" s="877"/>
      <c r="G2" s="877"/>
      <c r="H2" s="877"/>
      <c r="I2" s="877"/>
      <c r="J2" s="877"/>
      <c r="K2" s="877"/>
      <c r="L2" s="877"/>
      <c r="M2" s="877"/>
      <c r="N2" s="877"/>
      <c r="O2" s="877"/>
      <c r="P2" s="877"/>
      <c r="Q2" s="877"/>
      <c r="R2" s="877"/>
      <c r="S2" s="877"/>
      <c r="T2" s="877"/>
      <c r="U2" s="877"/>
      <c r="V2" s="877"/>
      <c r="W2" s="878"/>
      <c r="X2" s="440"/>
    </row>
    <row r="3" spans="1:24" ht="15.75">
      <c r="A3" s="879" t="s">
        <v>350</v>
      </c>
      <c r="B3" s="880"/>
      <c r="C3" s="880"/>
      <c r="D3" s="880"/>
      <c r="E3" s="880"/>
      <c r="F3" s="880"/>
      <c r="G3" s="880"/>
      <c r="H3" s="880"/>
      <c r="I3" s="880"/>
      <c r="J3" s="880"/>
      <c r="K3" s="880"/>
      <c r="L3" s="880"/>
      <c r="M3" s="880"/>
      <c r="N3" s="880"/>
      <c r="O3" s="880"/>
      <c r="P3" s="880"/>
      <c r="Q3" s="880"/>
      <c r="R3" s="880"/>
      <c r="S3" s="880"/>
      <c r="T3" s="880"/>
      <c r="U3" s="880"/>
      <c r="V3" s="880"/>
      <c r="W3" s="881"/>
      <c r="X3" s="440"/>
    </row>
    <row r="4" spans="1:24" ht="15.75">
      <c r="A4" s="882" t="s">
        <v>33</v>
      </c>
      <c r="B4" s="883"/>
      <c r="C4" s="883"/>
      <c r="D4" s="883"/>
      <c r="E4" s="883"/>
      <c r="F4" s="883"/>
      <c r="G4" s="883"/>
      <c r="H4" s="883"/>
      <c r="I4" s="883"/>
      <c r="J4" s="883"/>
      <c r="K4" s="883"/>
      <c r="L4" s="883"/>
      <c r="M4" s="883"/>
      <c r="N4" s="883"/>
      <c r="O4" s="883"/>
      <c r="P4" s="883"/>
      <c r="Q4" s="883"/>
      <c r="R4" s="883"/>
      <c r="S4" s="883"/>
      <c r="T4" s="883"/>
      <c r="U4" s="883"/>
      <c r="V4" s="883"/>
      <c r="W4" s="884"/>
      <c r="X4" s="440"/>
    </row>
    <row r="5" spans="1:24" ht="15">
      <c r="A5" s="494"/>
      <c r="B5" s="495"/>
      <c r="C5" s="495"/>
      <c r="D5" s="495"/>
      <c r="E5" s="495"/>
      <c r="F5" s="495"/>
      <c r="G5" s="495"/>
      <c r="H5" s="495"/>
      <c r="I5" s="495"/>
      <c r="J5" s="495"/>
      <c r="K5" s="495"/>
      <c r="L5" s="495"/>
      <c r="M5" s="495"/>
      <c r="N5" s="495"/>
      <c r="O5" s="495"/>
      <c r="P5" s="495"/>
      <c r="Q5" s="495"/>
      <c r="R5" s="495"/>
      <c r="S5" s="495"/>
      <c r="T5" s="495"/>
      <c r="U5" s="495"/>
      <c r="V5" s="495"/>
      <c r="W5" s="188"/>
      <c r="X5" s="440"/>
    </row>
    <row r="6" spans="1:24" ht="12.75" customHeight="1">
      <c r="A6" s="867" t="s">
        <v>4</v>
      </c>
      <c r="B6" s="868"/>
      <c r="C6" s="873" t="s">
        <v>92</v>
      </c>
      <c r="D6" s="874"/>
      <c r="E6" s="874"/>
      <c r="F6" s="874"/>
      <c r="G6" s="874"/>
      <c r="H6" s="874"/>
      <c r="I6" s="874"/>
      <c r="J6" s="874"/>
      <c r="K6" s="874"/>
      <c r="L6" s="874"/>
      <c r="M6" s="874"/>
      <c r="N6" s="874"/>
      <c r="O6" s="874"/>
      <c r="P6" s="874"/>
      <c r="Q6" s="874"/>
      <c r="R6" s="874"/>
      <c r="S6" s="874"/>
      <c r="T6" s="874"/>
      <c r="U6" s="874"/>
      <c r="V6" s="874"/>
      <c r="W6" s="875"/>
      <c r="X6" s="440"/>
    </row>
    <row r="7" spans="1:24" ht="15">
      <c r="A7" s="869"/>
      <c r="B7" s="870"/>
      <c r="C7" s="8">
        <v>0</v>
      </c>
      <c r="D7" s="8">
        <v>1</v>
      </c>
      <c r="E7" s="8">
        <v>2</v>
      </c>
      <c r="F7" s="8">
        <v>3</v>
      </c>
      <c r="G7" s="8">
        <v>4</v>
      </c>
      <c r="H7" s="8">
        <v>5</v>
      </c>
      <c r="I7" s="8">
        <v>6</v>
      </c>
      <c r="J7" s="8">
        <v>7</v>
      </c>
      <c r="K7" s="8">
        <v>8</v>
      </c>
      <c r="L7" s="8">
        <v>9</v>
      </c>
      <c r="M7" s="8">
        <v>10</v>
      </c>
      <c r="N7" s="8">
        <v>11</v>
      </c>
      <c r="O7" s="8">
        <v>12</v>
      </c>
      <c r="P7" s="8">
        <v>13</v>
      </c>
      <c r="Q7" s="8">
        <v>14</v>
      </c>
      <c r="R7" s="8">
        <v>15</v>
      </c>
      <c r="S7" s="8">
        <v>16</v>
      </c>
      <c r="T7" s="8">
        <v>17</v>
      </c>
      <c r="U7" s="8">
        <v>18</v>
      </c>
      <c r="V7" s="8">
        <v>19</v>
      </c>
      <c r="W7" s="114">
        <v>20</v>
      </c>
      <c r="X7" s="440"/>
    </row>
    <row r="8" spans="1:24" ht="15">
      <c r="A8" s="871"/>
      <c r="B8" s="872"/>
      <c r="C8" s="8">
        <f>'F2'!C8</f>
        <v>2011</v>
      </c>
      <c r="D8" s="8">
        <f>+C8+1</f>
        <v>2012</v>
      </c>
      <c r="E8" s="8">
        <f aca="true" t="shared" si="0" ref="E8:W8">+D8+1</f>
        <v>2013</v>
      </c>
      <c r="F8" s="8">
        <f t="shared" si="0"/>
        <v>2014</v>
      </c>
      <c r="G8" s="8">
        <f t="shared" si="0"/>
        <v>2015</v>
      </c>
      <c r="H8" s="8">
        <f t="shared" si="0"/>
        <v>2016</v>
      </c>
      <c r="I8" s="8">
        <f t="shared" si="0"/>
        <v>2017</v>
      </c>
      <c r="J8" s="8">
        <f t="shared" si="0"/>
        <v>2018</v>
      </c>
      <c r="K8" s="8">
        <f t="shared" si="0"/>
        <v>2019</v>
      </c>
      <c r="L8" s="8">
        <f t="shared" si="0"/>
        <v>2020</v>
      </c>
      <c r="M8" s="8">
        <f t="shared" si="0"/>
        <v>2021</v>
      </c>
      <c r="N8" s="8">
        <f t="shared" si="0"/>
        <v>2022</v>
      </c>
      <c r="O8" s="8">
        <f t="shared" si="0"/>
        <v>2023</v>
      </c>
      <c r="P8" s="8">
        <f t="shared" si="0"/>
        <v>2024</v>
      </c>
      <c r="Q8" s="8">
        <f t="shared" si="0"/>
        <v>2025</v>
      </c>
      <c r="R8" s="8">
        <f t="shared" si="0"/>
        <v>2026</v>
      </c>
      <c r="S8" s="8">
        <f t="shared" si="0"/>
        <v>2027</v>
      </c>
      <c r="T8" s="8">
        <f t="shared" si="0"/>
        <v>2028</v>
      </c>
      <c r="U8" s="8">
        <f t="shared" si="0"/>
        <v>2029</v>
      </c>
      <c r="V8" s="8">
        <f t="shared" si="0"/>
        <v>2030</v>
      </c>
      <c r="W8" s="114">
        <f t="shared" si="0"/>
        <v>2031</v>
      </c>
      <c r="X8" s="440"/>
    </row>
    <row r="9" spans="1:24" ht="15">
      <c r="A9" s="473"/>
      <c r="B9" s="474"/>
      <c r="C9" s="474"/>
      <c r="D9" s="474"/>
      <c r="E9" s="474"/>
      <c r="F9" s="474"/>
      <c r="G9" s="474"/>
      <c r="H9" s="474"/>
      <c r="I9" s="474"/>
      <c r="J9" s="474"/>
      <c r="K9" s="474"/>
      <c r="L9" s="474"/>
      <c r="M9" s="474"/>
      <c r="N9" s="474"/>
      <c r="O9" s="474"/>
      <c r="P9" s="474"/>
      <c r="Q9" s="474"/>
      <c r="R9" s="474"/>
      <c r="S9" s="474"/>
      <c r="T9" s="474"/>
      <c r="U9" s="474"/>
      <c r="V9" s="474"/>
      <c r="W9" s="475"/>
      <c r="X9" s="440"/>
    </row>
    <row r="10" spans="1:24" ht="15">
      <c r="A10" s="458" t="s">
        <v>0</v>
      </c>
      <c r="B10" s="449" t="s">
        <v>10</v>
      </c>
      <c r="C10" s="449"/>
      <c r="D10" s="449"/>
      <c r="E10" s="449"/>
      <c r="F10" s="449"/>
      <c r="G10" s="449"/>
      <c r="H10" s="449"/>
      <c r="I10" s="449"/>
      <c r="J10" s="449"/>
      <c r="K10" s="449"/>
      <c r="L10" s="449"/>
      <c r="M10" s="449"/>
      <c r="N10" s="449"/>
      <c r="O10" s="449"/>
      <c r="P10" s="449"/>
      <c r="Q10" s="449"/>
      <c r="R10" s="449"/>
      <c r="S10" s="449"/>
      <c r="T10" s="449"/>
      <c r="U10" s="449"/>
      <c r="V10" s="449"/>
      <c r="W10" s="496"/>
      <c r="X10" s="440"/>
    </row>
    <row r="11" spans="1:24" ht="15">
      <c r="A11" s="497"/>
      <c r="B11" s="498" t="s">
        <v>50</v>
      </c>
      <c r="C11" s="498"/>
      <c r="D11" s="229">
        <f>'F2'!C36*$L$33</f>
        <v>253279.68</v>
      </c>
      <c r="E11" s="229">
        <f>'F2'!D36*$L$33</f>
        <v>256491.56</v>
      </c>
      <c r="F11" s="229">
        <f>'F2'!E36*$L$33</f>
        <v>259244.59999999998</v>
      </c>
      <c r="G11" s="229">
        <f>'F2'!F36*$L$33</f>
        <v>262456.48</v>
      </c>
      <c r="H11" s="229">
        <f>'F2'!G36*$L$33</f>
        <v>265209.51999999996</v>
      </c>
      <c r="I11" s="229">
        <f>'F2'!H36*$L$33</f>
        <v>268421.39999999997</v>
      </c>
      <c r="J11" s="229">
        <f>'F2'!I36*$L$33</f>
        <v>271633.27999999997</v>
      </c>
      <c r="K11" s="229">
        <f>'F2'!J36*$L$33</f>
        <v>274845.16</v>
      </c>
      <c r="L11" s="229">
        <f>'F2'!K36*$L$33</f>
        <v>278057.04</v>
      </c>
      <c r="M11" s="229">
        <f>'F2'!L36*$L$33</f>
        <v>281268.92</v>
      </c>
      <c r="N11" s="229">
        <f>'F2'!M36*$L$33</f>
        <v>284480.8</v>
      </c>
      <c r="O11" s="229">
        <f>'F2'!N36*$L$33</f>
        <v>287692.68</v>
      </c>
      <c r="P11" s="229">
        <f>'F2'!O36*$L$33</f>
        <v>290904.56</v>
      </c>
      <c r="Q11" s="229">
        <f>'F2'!P36*$L$33</f>
        <v>294575.27999999997</v>
      </c>
      <c r="R11" s="229">
        <f>'F2'!Q36*$L$33</f>
        <v>297787.16</v>
      </c>
      <c r="S11" s="229">
        <f>'F2'!R36*$L$33</f>
        <v>301457.88</v>
      </c>
      <c r="T11" s="229">
        <f>'F2'!S36*$L$33</f>
        <v>304669.76</v>
      </c>
      <c r="U11" s="229">
        <f>'F2'!T36*$L$33</f>
        <v>308340.48</v>
      </c>
      <c r="V11" s="229">
        <f>'F2'!U36*$L$33</f>
        <v>312011.2</v>
      </c>
      <c r="W11" s="499">
        <f>'F2'!V36*$L$33</f>
        <v>315681.92</v>
      </c>
      <c r="X11" s="440"/>
    </row>
    <row r="12" spans="1:24" ht="15">
      <c r="A12" s="500"/>
      <c r="B12" s="498" t="s">
        <v>51</v>
      </c>
      <c r="C12" s="501"/>
      <c r="D12" s="229">
        <f>'F2'!C36*$L$34</f>
        <v>143586.24</v>
      </c>
      <c r="E12" s="229">
        <f>'F2'!D36*$L$34</f>
        <v>145407.08000000002</v>
      </c>
      <c r="F12" s="229">
        <f>'F2'!E36*$L$34</f>
        <v>146967.8</v>
      </c>
      <c r="G12" s="229">
        <f>'F2'!F36*$L$34</f>
        <v>148788.64</v>
      </c>
      <c r="H12" s="229">
        <f>'F2'!G36*$L$34</f>
        <v>150349.36000000002</v>
      </c>
      <c r="I12" s="229">
        <f>'F2'!H36*$L$34</f>
        <v>152170.2</v>
      </c>
      <c r="J12" s="229">
        <f>'F2'!I36*$L$34</f>
        <v>153991.04</v>
      </c>
      <c r="K12" s="229">
        <f>'F2'!J36*$L$34</f>
        <v>155811.88</v>
      </c>
      <c r="L12" s="229">
        <f>'F2'!K36*$L$34</f>
        <v>157632.72</v>
      </c>
      <c r="M12" s="229">
        <f>'F2'!L36*$L$34</f>
        <v>159453.56</v>
      </c>
      <c r="N12" s="229">
        <f>'F2'!M36*$L$34</f>
        <v>161274.4</v>
      </c>
      <c r="O12" s="229">
        <f>'F2'!N36*$L$34</f>
        <v>163095.24</v>
      </c>
      <c r="P12" s="229">
        <f>'F2'!O36*$L$34</f>
        <v>164916.08000000002</v>
      </c>
      <c r="Q12" s="229">
        <f>'F2'!P36*$L$34</f>
        <v>166997.04</v>
      </c>
      <c r="R12" s="229">
        <f>'F2'!Q36*$L$34</f>
        <v>168817.88</v>
      </c>
      <c r="S12" s="229">
        <f>'F2'!R36*$L$34</f>
        <v>170898.84</v>
      </c>
      <c r="T12" s="229">
        <f>'F2'!S36*$L$34</f>
        <v>172719.68</v>
      </c>
      <c r="U12" s="229">
        <f>'F2'!T36*$L$34</f>
        <v>174800.64</v>
      </c>
      <c r="V12" s="229">
        <f>'F2'!U36*$L$34</f>
        <v>176881.6</v>
      </c>
      <c r="W12" s="499">
        <f>'F2'!V36*$L$34</f>
        <v>178962.56</v>
      </c>
      <c r="X12" s="440"/>
    </row>
    <row r="13" spans="1:24" ht="15">
      <c r="A13" s="500"/>
      <c r="B13" s="498" t="s">
        <v>226</v>
      </c>
      <c r="C13" s="501"/>
      <c r="D13" s="502">
        <f>'F2'!C36*$L$35*$L$38</f>
        <v>34395.12</v>
      </c>
      <c r="E13" s="502">
        <f>'F2'!D36*$L$35*$L$38</f>
        <v>34831.29</v>
      </c>
      <c r="F13" s="502">
        <f>'F2'!E36*$L$35*$L$38</f>
        <v>35205.15</v>
      </c>
      <c r="G13" s="502">
        <f>'F2'!F36*$L$35*$L$38</f>
        <v>35641.32</v>
      </c>
      <c r="H13" s="502">
        <f>'F2'!G36*$L$35*$L$38</f>
        <v>36015.18</v>
      </c>
      <c r="I13" s="502">
        <f>'F2'!H36*$L$35*$L$38</f>
        <v>36451.35</v>
      </c>
      <c r="J13" s="502">
        <f>'F2'!I36*$L$35*$L$38</f>
        <v>36887.520000000004</v>
      </c>
      <c r="K13" s="502">
        <f>'F2'!J36*$L$35*$L$38</f>
        <v>37323.69</v>
      </c>
      <c r="L13" s="502">
        <f>'F2'!K36*$L$35*$L$38</f>
        <v>37759.86000000001</v>
      </c>
      <c r="M13" s="502">
        <f>'F2'!L36*$L$35*$L$38</f>
        <v>38196.03</v>
      </c>
      <c r="N13" s="502">
        <f>'F2'!M36*$L$35*$L$38</f>
        <v>38632.200000000004</v>
      </c>
      <c r="O13" s="502">
        <f>'F2'!N36*$L$35*$L$38</f>
        <v>39068.37</v>
      </c>
      <c r="P13" s="502">
        <f>'F2'!O36*$L$35*$L$38</f>
        <v>39504.54000000001</v>
      </c>
      <c r="Q13" s="502">
        <f>'F2'!P36*$L$35*$L$38</f>
        <v>40003.020000000004</v>
      </c>
      <c r="R13" s="502">
        <f>'F2'!Q36*$L$35*$L$38</f>
        <v>40439.19</v>
      </c>
      <c r="S13" s="502">
        <f>'F2'!R36*$L$35*$L$38</f>
        <v>40937.670000000006</v>
      </c>
      <c r="T13" s="502">
        <f>'F2'!S36*$L$35*$L$38</f>
        <v>41373.840000000004</v>
      </c>
      <c r="U13" s="502">
        <f>'F2'!T36*$L$35*$L$38</f>
        <v>41872.32000000001</v>
      </c>
      <c r="V13" s="502">
        <f>'F2'!U36*$L$35*$L$38</f>
        <v>42370.8</v>
      </c>
      <c r="W13" s="503">
        <f>'F2'!V36*$L$35*$L$38</f>
        <v>42869.28</v>
      </c>
      <c r="X13" s="440"/>
    </row>
    <row r="14" spans="1:24" ht="15">
      <c r="A14" s="500"/>
      <c r="B14" s="498" t="s">
        <v>53</v>
      </c>
      <c r="C14" s="501"/>
      <c r="D14" s="229">
        <f>'F2'!C50*$L$36</f>
        <v>0</v>
      </c>
      <c r="E14" s="229">
        <f>'F2'!D50*$L$36</f>
        <v>0</v>
      </c>
      <c r="F14" s="229">
        <f>'F2'!E50*$L$36</f>
        <v>0</v>
      </c>
      <c r="G14" s="229">
        <f>'F2'!F50*$L$36</f>
        <v>0</v>
      </c>
      <c r="H14" s="229">
        <f>'F2'!G50*$L$36</f>
        <v>0</v>
      </c>
      <c r="I14" s="229">
        <f>'F2'!H50*$L$36</f>
        <v>0</v>
      </c>
      <c r="J14" s="229">
        <f>'F2'!I50*$L$36</f>
        <v>0</v>
      </c>
      <c r="K14" s="229">
        <f>'F2'!J50*$L$36</f>
        <v>0</v>
      </c>
      <c r="L14" s="229">
        <f>'F2'!K50*$L$36</f>
        <v>0</v>
      </c>
      <c r="M14" s="229">
        <f>'F2'!L50*$L$36</f>
        <v>0</v>
      </c>
      <c r="N14" s="229">
        <f>'F2'!M50*$L$36</f>
        <v>0</v>
      </c>
      <c r="O14" s="229">
        <f>'F2'!N50*$L$36</f>
        <v>0</v>
      </c>
      <c r="P14" s="229">
        <f>'F2'!O50*$L$36</f>
        <v>0</v>
      </c>
      <c r="Q14" s="229">
        <f>'F2'!P50*$L$36</f>
        <v>0</v>
      </c>
      <c r="R14" s="229">
        <f>'F2'!Q50*$L$36</f>
        <v>0</v>
      </c>
      <c r="S14" s="229">
        <f>'F2'!R50*$L$36</f>
        <v>0</v>
      </c>
      <c r="T14" s="229">
        <f>'F2'!S50*$L$36</f>
        <v>0</v>
      </c>
      <c r="U14" s="229">
        <f>'F2'!T50*$L$36</f>
        <v>0</v>
      </c>
      <c r="V14" s="229">
        <f>'F2'!U50*$L$36</f>
        <v>0</v>
      </c>
      <c r="W14" s="499">
        <f>'F2'!V50*$L$36</f>
        <v>0</v>
      </c>
      <c r="X14" s="440"/>
    </row>
    <row r="15" spans="1:24" ht="15">
      <c r="A15" s="500"/>
      <c r="B15" s="498"/>
      <c r="C15" s="501"/>
      <c r="D15" s="504"/>
      <c r="E15" s="504"/>
      <c r="F15" s="504"/>
      <c r="G15" s="504"/>
      <c r="H15" s="504"/>
      <c r="I15" s="504"/>
      <c r="J15" s="504"/>
      <c r="K15" s="504"/>
      <c r="L15" s="504"/>
      <c r="M15" s="504"/>
      <c r="N15" s="504"/>
      <c r="O15" s="504"/>
      <c r="P15" s="504"/>
      <c r="Q15" s="504"/>
      <c r="R15" s="504"/>
      <c r="S15" s="504"/>
      <c r="T15" s="504"/>
      <c r="U15" s="504"/>
      <c r="V15" s="504"/>
      <c r="W15" s="505"/>
      <c r="X15" s="440"/>
    </row>
    <row r="16" spans="1:24" ht="15.75" customHeight="1">
      <c r="A16" s="500"/>
      <c r="B16" s="501" t="s">
        <v>34</v>
      </c>
      <c r="C16" s="501"/>
      <c r="D16" s="504">
        <f aca="true" t="shared" si="1" ref="D16:W16">SUM(D11:D15)</f>
        <v>431261.04</v>
      </c>
      <c r="E16" s="504">
        <f t="shared" si="1"/>
        <v>436729.93</v>
      </c>
      <c r="F16" s="504">
        <f t="shared" si="1"/>
        <v>441417.55</v>
      </c>
      <c r="G16" s="504">
        <f t="shared" si="1"/>
        <v>446886.44</v>
      </c>
      <c r="H16" s="504">
        <f t="shared" si="1"/>
        <v>451574.06</v>
      </c>
      <c r="I16" s="504">
        <f t="shared" si="1"/>
        <v>457042.94999999995</v>
      </c>
      <c r="J16" s="504">
        <f t="shared" si="1"/>
        <v>462511.83999999997</v>
      </c>
      <c r="K16" s="504">
        <f t="shared" si="1"/>
        <v>467980.73</v>
      </c>
      <c r="L16" s="504">
        <f t="shared" si="1"/>
        <v>473449.62</v>
      </c>
      <c r="M16" s="504">
        <f t="shared" si="1"/>
        <v>478918.51</v>
      </c>
      <c r="N16" s="504">
        <f t="shared" si="1"/>
        <v>484387.39999999997</v>
      </c>
      <c r="O16" s="504">
        <f t="shared" si="1"/>
        <v>489856.29</v>
      </c>
      <c r="P16" s="504">
        <f t="shared" si="1"/>
        <v>495325.18000000005</v>
      </c>
      <c r="Q16" s="504">
        <f t="shared" si="1"/>
        <v>501575.33999999997</v>
      </c>
      <c r="R16" s="504">
        <f t="shared" si="1"/>
        <v>507044.23</v>
      </c>
      <c r="S16" s="504">
        <f t="shared" si="1"/>
        <v>513294.38999999996</v>
      </c>
      <c r="T16" s="504">
        <f t="shared" si="1"/>
        <v>518763.28</v>
      </c>
      <c r="U16" s="504">
        <f t="shared" si="1"/>
        <v>525013.44</v>
      </c>
      <c r="V16" s="504">
        <f t="shared" si="1"/>
        <v>531263.6000000001</v>
      </c>
      <c r="W16" s="505">
        <f t="shared" si="1"/>
        <v>537513.76</v>
      </c>
      <c r="X16" s="440"/>
    </row>
    <row r="17" spans="1:24" ht="15">
      <c r="A17" s="473"/>
      <c r="B17" s="474"/>
      <c r="C17" s="474"/>
      <c r="D17" s="504"/>
      <c r="E17" s="506"/>
      <c r="F17" s="506"/>
      <c r="G17" s="506"/>
      <c r="H17" s="506"/>
      <c r="I17" s="506"/>
      <c r="J17" s="506"/>
      <c r="K17" s="506"/>
      <c r="L17" s="506"/>
      <c r="M17" s="506"/>
      <c r="N17" s="506"/>
      <c r="O17" s="506"/>
      <c r="P17" s="506"/>
      <c r="Q17" s="506"/>
      <c r="R17" s="506"/>
      <c r="S17" s="506"/>
      <c r="T17" s="506"/>
      <c r="U17" s="506"/>
      <c r="V17" s="506"/>
      <c r="W17" s="507"/>
      <c r="X17" s="440"/>
    </row>
    <row r="18" spans="1:24" ht="15">
      <c r="A18" s="458" t="s">
        <v>1</v>
      </c>
      <c r="B18" s="449" t="s">
        <v>11</v>
      </c>
      <c r="C18" s="449"/>
      <c r="D18" s="508"/>
      <c r="E18" s="509"/>
      <c r="F18" s="509"/>
      <c r="G18" s="509"/>
      <c r="H18" s="509"/>
      <c r="I18" s="509"/>
      <c r="J18" s="509"/>
      <c r="K18" s="509"/>
      <c r="L18" s="509"/>
      <c r="M18" s="509"/>
      <c r="N18" s="509"/>
      <c r="O18" s="509"/>
      <c r="P18" s="509"/>
      <c r="Q18" s="509"/>
      <c r="R18" s="509"/>
      <c r="S18" s="509"/>
      <c r="T18" s="509"/>
      <c r="U18" s="509"/>
      <c r="V18" s="509"/>
      <c r="W18" s="510"/>
      <c r="X18" s="440"/>
    </row>
    <row r="19" spans="1:24" ht="15">
      <c r="A19" s="458"/>
      <c r="B19" s="498"/>
      <c r="C19" s="498"/>
      <c r="D19" s="229"/>
      <c r="E19" s="229"/>
      <c r="F19" s="229"/>
      <c r="G19" s="229"/>
      <c r="H19" s="229"/>
      <c r="I19" s="229"/>
      <c r="J19" s="229"/>
      <c r="K19" s="229"/>
      <c r="L19" s="229"/>
      <c r="M19" s="229"/>
      <c r="N19" s="229"/>
      <c r="O19" s="229"/>
      <c r="P19" s="229"/>
      <c r="Q19" s="229"/>
      <c r="R19" s="229"/>
      <c r="S19" s="229"/>
      <c r="T19" s="229"/>
      <c r="U19" s="229"/>
      <c r="V19" s="229"/>
      <c r="W19" s="499"/>
      <c r="X19" s="440"/>
    </row>
    <row r="20" spans="1:24" ht="15" hidden="1">
      <c r="A20" s="458"/>
      <c r="B20" s="498"/>
      <c r="C20" s="498"/>
      <c r="D20" s="229"/>
      <c r="E20" s="229"/>
      <c r="F20" s="229"/>
      <c r="G20" s="229"/>
      <c r="H20" s="229"/>
      <c r="I20" s="229"/>
      <c r="J20" s="229"/>
      <c r="K20" s="229"/>
      <c r="L20" s="229"/>
      <c r="M20" s="229"/>
      <c r="N20" s="229"/>
      <c r="O20" s="229"/>
      <c r="P20" s="229"/>
      <c r="Q20" s="229"/>
      <c r="R20" s="229"/>
      <c r="S20" s="229"/>
      <c r="T20" s="229"/>
      <c r="U20" s="229"/>
      <c r="V20" s="229"/>
      <c r="W20" s="499"/>
      <c r="X20" s="440"/>
    </row>
    <row r="21" spans="1:24" ht="15" hidden="1">
      <c r="A21" s="458"/>
      <c r="B21" s="498"/>
      <c r="C21" s="498"/>
      <c r="D21" s="229"/>
      <c r="E21" s="229"/>
      <c r="F21" s="229"/>
      <c r="G21" s="229"/>
      <c r="H21" s="229"/>
      <c r="I21" s="229"/>
      <c r="J21" s="229"/>
      <c r="K21" s="229"/>
      <c r="L21" s="229"/>
      <c r="M21" s="229"/>
      <c r="N21" s="229"/>
      <c r="O21" s="229"/>
      <c r="P21" s="229"/>
      <c r="Q21" s="229"/>
      <c r="R21" s="229"/>
      <c r="S21" s="229"/>
      <c r="T21" s="229"/>
      <c r="U21" s="229"/>
      <c r="V21" s="229"/>
      <c r="W21" s="499"/>
      <c r="X21" s="440"/>
    </row>
    <row r="22" spans="1:24" ht="15" hidden="1">
      <c r="A22" s="458"/>
      <c r="B22" s="498"/>
      <c r="C22" s="498"/>
      <c r="D22" s="229"/>
      <c r="E22" s="229"/>
      <c r="F22" s="229"/>
      <c r="G22" s="229"/>
      <c r="H22" s="229"/>
      <c r="I22" s="229"/>
      <c r="J22" s="229"/>
      <c r="K22" s="229"/>
      <c r="L22" s="229"/>
      <c r="M22" s="229"/>
      <c r="N22" s="229"/>
      <c r="O22" s="229"/>
      <c r="P22" s="229"/>
      <c r="Q22" s="229"/>
      <c r="R22" s="229"/>
      <c r="S22" s="229"/>
      <c r="T22" s="229"/>
      <c r="U22" s="229"/>
      <c r="V22" s="229"/>
      <c r="W22" s="499"/>
      <c r="X22" s="440"/>
    </row>
    <row r="23" spans="1:24" ht="15" hidden="1">
      <c r="A23" s="458"/>
      <c r="B23" s="498"/>
      <c r="C23" s="498"/>
      <c r="D23" s="229"/>
      <c r="E23" s="229"/>
      <c r="F23" s="229"/>
      <c r="G23" s="229"/>
      <c r="H23" s="229"/>
      <c r="I23" s="229"/>
      <c r="J23" s="229"/>
      <c r="K23" s="229"/>
      <c r="L23" s="229"/>
      <c r="M23" s="229"/>
      <c r="N23" s="229"/>
      <c r="O23" s="229"/>
      <c r="P23" s="229"/>
      <c r="Q23" s="229"/>
      <c r="R23" s="229"/>
      <c r="S23" s="229"/>
      <c r="T23" s="229"/>
      <c r="U23" s="229"/>
      <c r="V23" s="229"/>
      <c r="W23" s="499"/>
      <c r="X23" s="440"/>
    </row>
    <row r="24" spans="1:24" ht="15" hidden="1">
      <c r="A24" s="458"/>
      <c r="B24" s="498"/>
      <c r="C24" s="498"/>
      <c r="D24" s="229"/>
      <c r="E24" s="229"/>
      <c r="F24" s="229"/>
      <c r="G24" s="229"/>
      <c r="H24" s="229"/>
      <c r="I24" s="229"/>
      <c r="J24" s="229"/>
      <c r="K24" s="229"/>
      <c r="L24" s="229"/>
      <c r="M24" s="229"/>
      <c r="N24" s="229"/>
      <c r="O24" s="229"/>
      <c r="P24" s="229"/>
      <c r="Q24" s="229"/>
      <c r="R24" s="229"/>
      <c r="S24" s="229"/>
      <c r="T24" s="229"/>
      <c r="U24" s="229"/>
      <c r="V24" s="229"/>
      <c r="W24" s="499"/>
      <c r="X24" s="440"/>
    </row>
    <row r="25" spans="1:24" ht="15.75" customHeight="1">
      <c r="A25" s="458"/>
      <c r="B25" s="498" t="s">
        <v>36</v>
      </c>
      <c r="C25" s="498"/>
      <c r="D25" s="229">
        <f>SUM(D19:D24)</f>
        <v>0</v>
      </c>
      <c r="E25" s="229">
        <f aca="true" t="shared" si="2" ref="E25:W25">SUM(E19:E24)</f>
        <v>0</v>
      </c>
      <c r="F25" s="229">
        <f t="shared" si="2"/>
        <v>0</v>
      </c>
      <c r="G25" s="229">
        <f t="shared" si="2"/>
        <v>0</v>
      </c>
      <c r="H25" s="229">
        <f t="shared" si="2"/>
        <v>0</v>
      </c>
      <c r="I25" s="229">
        <f t="shared" si="2"/>
        <v>0</v>
      </c>
      <c r="J25" s="229">
        <f t="shared" si="2"/>
        <v>0</v>
      </c>
      <c r="K25" s="229">
        <f t="shared" si="2"/>
        <v>0</v>
      </c>
      <c r="L25" s="229">
        <f t="shared" si="2"/>
        <v>0</v>
      </c>
      <c r="M25" s="229">
        <f t="shared" si="2"/>
        <v>0</v>
      </c>
      <c r="N25" s="229">
        <f t="shared" si="2"/>
        <v>0</v>
      </c>
      <c r="O25" s="229">
        <f t="shared" si="2"/>
        <v>0</v>
      </c>
      <c r="P25" s="229">
        <f t="shared" si="2"/>
        <v>0</v>
      </c>
      <c r="Q25" s="229">
        <f t="shared" si="2"/>
        <v>0</v>
      </c>
      <c r="R25" s="229">
        <f t="shared" si="2"/>
        <v>0</v>
      </c>
      <c r="S25" s="229">
        <f t="shared" si="2"/>
        <v>0</v>
      </c>
      <c r="T25" s="229">
        <f t="shared" si="2"/>
        <v>0</v>
      </c>
      <c r="U25" s="229">
        <f t="shared" si="2"/>
        <v>0</v>
      </c>
      <c r="V25" s="229">
        <f t="shared" si="2"/>
        <v>0</v>
      </c>
      <c r="W25" s="499">
        <f t="shared" si="2"/>
        <v>0</v>
      </c>
      <c r="X25" s="440"/>
    </row>
    <row r="26" spans="1:24" ht="15">
      <c r="A26" s="458"/>
      <c r="B26" s="449"/>
      <c r="C26" s="449"/>
      <c r="D26" s="509"/>
      <c r="E26" s="509"/>
      <c r="F26" s="509"/>
      <c r="G26" s="509"/>
      <c r="H26" s="509"/>
      <c r="I26" s="509"/>
      <c r="J26" s="509"/>
      <c r="K26" s="509"/>
      <c r="L26" s="509"/>
      <c r="M26" s="509"/>
      <c r="N26" s="509"/>
      <c r="O26" s="509"/>
      <c r="P26" s="509"/>
      <c r="Q26" s="509"/>
      <c r="R26" s="509"/>
      <c r="S26" s="509"/>
      <c r="T26" s="509"/>
      <c r="U26" s="509"/>
      <c r="V26" s="509"/>
      <c r="W26" s="510"/>
      <c r="X26" s="440"/>
    </row>
    <row r="27" spans="1:24" ht="15">
      <c r="A27" s="473"/>
      <c r="B27" s="474"/>
      <c r="C27" s="474"/>
      <c r="D27" s="506"/>
      <c r="E27" s="506"/>
      <c r="F27" s="506"/>
      <c r="G27" s="506"/>
      <c r="H27" s="506"/>
      <c r="I27" s="506"/>
      <c r="J27" s="506"/>
      <c r="K27" s="506"/>
      <c r="L27" s="506"/>
      <c r="M27" s="506"/>
      <c r="N27" s="506"/>
      <c r="O27" s="506"/>
      <c r="P27" s="506"/>
      <c r="Q27" s="506"/>
      <c r="R27" s="506"/>
      <c r="S27" s="506"/>
      <c r="T27" s="506"/>
      <c r="U27" s="506"/>
      <c r="V27" s="506"/>
      <c r="W27" s="507"/>
      <c r="X27" s="440"/>
    </row>
    <row r="28" spans="1:24" ht="15">
      <c r="A28" s="458" t="s">
        <v>8</v>
      </c>
      <c r="B28" s="511" t="s">
        <v>26</v>
      </c>
      <c r="C28" s="511"/>
      <c r="D28" s="512">
        <f>+D16-D25</f>
        <v>431261.04</v>
      </c>
      <c r="E28" s="512">
        <f aca="true" t="shared" si="3" ref="E28:W28">+E16-E25</f>
        <v>436729.93</v>
      </c>
      <c r="F28" s="512">
        <f t="shared" si="3"/>
        <v>441417.55</v>
      </c>
      <c r="G28" s="512">
        <f t="shared" si="3"/>
        <v>446886.44</v>
      </c>
      <c r="H28" s="512">
        <f t="shared" si="3"/>
        <v>451574.06</v>
      </c>
      <c r="I28" s="512">
        <f t="shared" si="3"/>
        <v>457042.94999999995</v>
      </c>
      <c r="J28" s="512">
        <f t="shared" si="3"/>
        <v>462511.83999999997</v>
      </c>
      <c r="K28" s="512">
        <f t="shared" si="3"/>
        <v>467980.73</v>
      </c>
      <c r="L28" s="512">
        <f t="shared" si="3"/>
        <v>473449.62</v>
      </c>
      <c r="M28" s="512">
        <f t="shared" si="3"/>
        <v>478918.51</v>
      </c>
      <c r="N28" s="512">
        <f t="shared" si="3"/>
        <v>484387.39999999997</v>
      </c>
      <c r="O28" s="512">
        <f t="shared" si="3"/>
        <v>489856.29</v>
      </c>
      <c r="P28" s="512">
        <f t="shared" si="3"/>
        <v>495325.18000000005</v>
      </c>
      <c r="Q28" s="512">
        <f t="shared" si="3"/>
        <v>501575.33999999997</v>
      </c>
      <c r="R28" s="512">
        <f t="shared" si="3"/>
        <v>507044.23</v>
      </c>
      <c r="S28" s="512">
        <f t="shared" si="3"/>
        <v>513294.38999999996</v>
      </c>
      <c r="T28" s="512">
        <f t="shared" si="3"/>
        <v>518763.28</v>
      </c>
      <c r="U28" s="512">
        <f t="shared" si="3"/>
        <v>525013.44</v>
      </c>
      <c r="V28" s="512">
        <f t="shared" si="3"/>
        <v>531263.6000000001</v>
      </c>
      <c r="W28" s="513">
        <f t="shared" si="3"/>
        <v>537513.76</v>
      </c>
      <c r="X28" s="440"/>
    </row>
    <row r="29" spans="1:24" ht="15.75" thickBot="1">
      <c r="A29" s="514"/>
      <c r="B29" s="515"/>
      <c r="C29" s="515"/>
      <c r="D29" s="516"/>
      <c r="E29" s="516"/>
      <c r="F29" s="516"/>
      <c r="G29" s="516"/>
      <c r="H29" s="516"/>
      <c r="I29" s="516"/>
      <c r="J29" s="516"/>
      <c r="K29" s="516"/>
      <c r="L29" s="516"/>
      <c r="M29" s="516"/>
      <c r="N29" s="516"/>
      <c r="O29" s="516"/>
      <c r="P29" s="516"/>
      <c r="Q29" s="516"/>
      <c r="R29" s="516"/>
      <c r="S29" s="516"/>
      <c r="T29" s="516"/>
      <c r="U29" s="516"/>
      <c r="V29" s="516"/>
      <c r="W29" s="517"/>
      <c r="X29" s="440"/>
    </row>
    <row r="30" spans="1:24" ht="15">
      <c r="A30" s="440"/>
      <c r="B30" s="440"/>
      <c r="C30" s="440"/>
      <c r="D30" s="440"/>
      <c r="E30" s="440"/>
      <c r="F30" s="440"/>
      <c r="G30" s="440"/>
      <c r="H30" s="440"/>
      <c r="I30" s="440"/>
      <c r="J30" s="440"/>
      <c r="K30" s="440"/>
      <c r="L30" s="440"/>
      <c r="M30" s="440"/>
      <c r="N30" s="440"/>
      <c r="O30" s="440"/>
      <c r="P30" s="440"/>
      <c r="Q30" s="440"/>
      <c r="R30" s="440"/>
      <c r="S30" s="440"/>
      <c r="T30" s="440"/>
      <c r="U30" s="440"/>
      <c r="V30" s="440"/>
      <c r="W30" s="440"/>
      <c r="X30" s="440"/>
    </row>
    <row r="31" spans="1:24" ht="15" hidden="1">
      <c r="A31" s="440"/>
      <c r="B31" s="440"/>
      <c r="C31" s="440"/>
      <c r="D31" s="440"/>
      <c r="J31" s="440"/>
      <c r="K31" s="440"/>
      <c r="L31" s="440"/>
      <c r="M31" s="440"/>
      <c r="N31" s="440"/>
      <c r="O31" s="440"/>
      <c r="P31" s="440"/>
      <c r="Q31" s="440"/>
      <c r="R31" s="440"/>
      <c r="S31" s="440"/>
      <c r="T31" s="440"/>
      <c r="U31" s="440"/>
      <c r="V31" s="440"/>
      <c r="W31" s="440"/>
      <c r="X31" s="440"/>
    </row>
    <row r="32" spans="1:24" ht="25.5" hidden="1">
      <c r="A32" s="440"/>
      <c r="B32" s="518" t="s">
        <v>247</v>
      </c>
      <c r="C32" s="888" t="s">
        <v>127</v>
      </c>
      <c r="D32" s="888"/>
      <c r="E32" s="518" t="s">
        <v>128</v>
      </c>
      <c r="F32" s="518" t="s">
        <v>126</v>
      </c>
      <c r="G32" s="440"/>
      <c r="H32" s="518" t="s">
        <v>278</v>
      </c>
      <c r="I32" s="440"/>
      <c r="J32" s="518" t="s">
        <v>281</v>
      </c>
      <c r="K32" s="440"/>
      <c r="L32" s="518" t="s">
        <v>225</v>
      </c>
      <c r="M32" s="440"/>
      <c r="N32" s="440"/>
      <c r="O32" s="440"/>
      <c r="P32" s="440"/>
      <c r="Q32" s="440"/>
      <c r="R32" s="440"/>
      <c r="S32" s="440"/>
      <c r="T32" s="440"/>
      <c r="U32" s="440"/>
      <c r="V32" s="440"/>
      <c r="W32" s="440"/>
      <c r="X32" s="440"/>
    </row>
    <row r="33" spans="1:24" ht="12.75" customHeight="1" hidden="1">
      <c r="A33" s="440"/>
      <c r="B33" s="519" t="s">
        <v>49</v>
      </c>
      <c r="C33" s="889">
        <v>710.88</v>
      </c>
      <c r="D33" s="889"/>
      <c r="E33" s="520">
        <v>458.84</v>
      </c>
      <c r="F33" s="520">
        <v>556.32</v>
      </c>
      <c r="G33" s="440"/>
      <c r="H33" s="521">
        <f>HLOOKUP(region,$C$32:$F$36,2,FALSE)*sensIlumin</f>
        <v>458.84</v>
      </c>
      <c r="I33" s="440"/>
      <c r="J33" s="521">
        <f>Entrada!D109*sensIlumin</f>
        <v>0</v>
      </c>
      <c r="K33" s="440"/>
      <c r="L33" s="521">
        <f>IF(Entrada!$E$106="NRECA",H33,J33)</f>
        <v>458.84</v>
      </c>
      <c r="M33" s="440"/>
      <c r="N33" s="440"/>
      <c r="O33" s="440"/>
      <c r="P33" s="440"/>
      <c r="Q33" s="440"/>
      <c r="R33" s="440"/>
      <c r="S33" s="440"/>
      <c r="T33" s="440"/>
      <c r="U33" s="440"/>
      <c r="V33" s="440"/>
      <c r="W33" s="440"/>
      <c r="X33" s="440"/>
    </row>
    <row r="34" spans="1:24" ht="15" hidden="1">
      <c r="A34" s="440"/>
      <c r="B34" s="519" t="s">
        <v>224</v>
      </c>
      <c r="C34" s="889">
        <v>271.43</v>
      </c>
      <c r="D34" s="889"/>
      <c r="E34" s="520">
        <v>260.12</v>
      </c>
      <c r="F34" s="520">
        <v>401.22</v>
      </c>
      <c r="G34" s="440"/>
      <c r="H34" s="521">
        <f>HLOOKUP(region,$C$32:$F$36,3,FALSE)*sensRTV</f>
        <v>260.12</v>
      </c>
      <c r="I34" s="440"/>
      <c r="J34" s="521">
        <f>Entrada!D110*sensRTV</f>
        <v>0</v>
      </c>
      <c r="K34" s="440"/>
      <c r="L34" s="521">
        <f>IF(Entrada!$E$106="NRECA",H34,J34)</f>
        <v>260.12</v>
      </c>
      <c r="M34" s="440"/>
      <c r="N34" s="440"/>
      <c r="O34" s="440"/>
      <c r="P34" s="440"/>
      <c r="Q34" s="440"/>
      <c r="R34" s="440"/>
      <c r="S34" s="440"/>
      <c r="T34" s="440"/>
      <c r="U34" s="440"/>
      <c r="V34" s="440"/>
      <c r="W34" s="440"/>
      <c r="X34" s="440"/>
    </row>
    <row r="35" spans="1:24" ht="15" hidden="1">
      <c r="A35" s="440"/>
      <c r="B35" s="519" t="s">
        <v>52</v>
      </c>
      <c r="C35" s="890"/>
      <c r="D35" s="890"/>
      <c r="E35" s="520">
        <v>623.1</v>
      </c>
      <c r="F35" s="520">
        <v>1037.24</v>
      </c>
      <c r="G35" s="440"/>
      <c r="H35" s="521">
        <f>HLOOKUP(region,$C$32:$F$36,4,FALSE)</f>
        <v>623.1</v>
      </c>
      <c r="I35" s="440"/>
      <c r="J35" s="521">
        <f>Entrada!D111</f>
        <v>0</v>
      </c>
      <c r="K35" s="440"/>
      <c r="L35" s="521">
        <f>IF(Entrada!$E$106="NRECA",H35,J35)</f>
        <v>623.1</v>
      </c>
      <c r="M35" s="440"/>
      <c r="N35" s="440"/>
      <c r="O35" s="440"/>
      <c r="P35" s="440"/>
      <c r="Q35" s="440"/>
      <c r="R35" s="440"/>
      <c r="S35" s="440"/>
      <c r="T35" s="440"/>
      <c r="U35" s="440"/>
      <c r="V35" s="440"/>
      <c r="W35" s="440"/>
      <c r="X35" s="440"/>
    </row>
    <row r="36" spans="1:24" ht="15" hidden="1">
      <c r="A36" s="440"/>
      <c r="B36" s="519" t="s">
        <v>53</v>
      </c>
      <c r="C36" s="891">
        <f>0.15109*Entrada!D91</f>
        <v>0.423052</v>
      </c>
      <c r="D36" s="891"/>
      <c r="E36" s="522">
        <f>0.15109*Entrada!D91</f>
        <v>0.423052</v>
      </c>
      <c r="F36" s="522">
        <f>0.15109*Entrada!D91</f>
        <v>0.423052</v>
      </c>
      <c r="G36" s="440"/>
      <c r="H36" s="521">
        <f>HLOOKUP(region,$C$32:$F$36,5,FALSE)</f>
        <v>0.423052</v>
      </c>
      <c r="I36" s="440"/>
      <c r="J36" s="521">
        <f>Entrada!D112</f>
        <v>0</v>
      </c>
      <c r="K36" s="440"/>
      <c r="L36" s="521">
        <f>IF(Entrada!$E$106="NRECA",H36,J36)</f>
        <v>0.423052</v>
      </c>
      <c r="M36" s="440"/>
      <c r="N36" s="440"/>
      <c r="O36" s="440"/>
      <c r="P36" s="440"/>
      <c r="Q36" s="440"/>
      <c r="R36" s="440"/>
      <c r="S36" s="440"/>
      <c r="T36" s="440"/>
      <c r="U36" s="440"/>
      <c r="V36" s="440"/>
      <c r="W36" s="440"/>
      <c r="X36" s="440"/>
    </row>
    <row r="37" spans="1:24" ht="15" hidden="1">
      <c r="A37" s="440"/>
      <c r="B37" s="440"/>
      <c r="C37" s="440"/>
      <c r="D37" s="440"/>
      <c r="E37" s="440"/>
      <c r="F37" s="440"/>
      <c r="G37" s="440"/>
      <c r="I37" s="440"/>
      <c r="J37" s="440"/>
      <c r="K37" s="440"/>
      <c r="L37" s="440"/>
      <c r="M37" s="440"/>
      <c r="N37" s="440"/>
      <c r="O37" s="440"/>
      <c r="P37" s="440"/>
      <c r="Q37" s="440"/>
      <c r="R37" s="440"/>
      <c r="S37" s="440"/>
      <c r="T37" s="440"/>
      <c r="U37" s="440"/>
      <c r="V37" s="440"/>
      <c r="W37" s="440"/>
      <c r="X37" s="440"/>
    </row>
    <row r="38" spans="2:12" ht="15" hidden="1">
      <c r="B38" s="585" t="s">
        <v>52</v>
      </c>
      <c r="C38" s="586"/>
      <c r="D38" s="587"/>
      <c r="L38" s="797">
        <f>Entrada!D108</f>
        <v>0.1</v>
      </c>
    </row>
    <row r="39" ht="15" hidden="1">
      <c r="J39" s="440"/>
    </row>
    <row r="40" ht="15" hidden="1"/>
  </sheetData>
  <sheetProtection password="FFA0" sheet="1"/>
  <mergeCells count="10">
    <mergeCell ref="C32:D32"/>
    <mergeCell ref="C33:D33"/>
    <mergeCell ref="C34:D34"/>
    <mergeCell ref="C35:D35"/>
    <mergeCell ref="C36:D36"/>
    <mergeCell ref="A2:W2"/>
    <mergeCell ref="A3:W3"/>
    <mergeCell ref="A4:W4"/>
    <mergeCell ref="A6:B8"/>
    <mergeCell ref="C6:W6"/>
  </mergeCells>
  <printOptions horizontalCentered="1" verticalCentered="1"/>
  <pageMargins left="0.31496062992125984" right="0.2362204724409449" top="1.3779527559055118" bottom="0.7480314960629921" header="0.31496062992125984" footer="0.31496062992125984"/>
  <pageSetup fitToHeight="1" fitToWidth="1" horizontalDpi="600" verticalDpi="600" orientation="landscape" paperSize="9" scale="57" r:id="rId2"/>
  <drawing r:id="rId1"/>
</worksheet>
</file>

<file path=xl/worksheets/sheet17.xml><?xml version="1.0" encoding="utf-8"?>
<worksheet xmlns="http://schemas.openxmlformats.org/spreadsheetml/2006/main" xmlns:r="http://schemas.openxmlformats.org/officeDocument/2006/relationships">
  <sheetPr codeName="Hoja21">
    <pageSetUpPr fitToPage="1"/>
  </sheetPr>
  <dimension ref="A1:X39"/>
  <sheetViews>
    <sheetView showGridLines="0" showZeros="0" zoomScaleSheetLayoutView="75" zoomScalePageLayoutView="0" workbookViewId="0" topLeftCell="A1">
      <pane ySplit="4" topLeftCell="A5" activePane="bottomLeft" state="frozen"/>
      <selection pane="topLeft" activeCell="K132" sqref="K132"/>
      <selection pane="bottomLeft" activeCell="F49" sqref="F49"/>
    </sheetView>
  </sheetViews>
  <sheetFormatPr defaultColWidth="11.421875" defaultRowHeight="15"/>
  <cols>
    <col min="1" max="1" width="3.00390625" style="234" bestFit="1" customWidth="1"/>
    <col min="2" max="2" width="27.8515625" style="234" bestFit="1" customWidth="1"/>
    <col min="3" max="3" width="8.00390625" style="234" customWidth="1"/>
    <col min="4" max="4" width="9.421875" style="234" bestFit="1" customWidth="1"/>
    <col min="5" max="6" width="10.00390625" style="234" bestFit="1" customWidth="1"/>
    <col min="7" max="7" width="8.8515625" style="234" customWidth="1"/>
    <col min="8" max="23" width="9.00390625" style="234" customWidth="1"/>
    <col min="24" max="16384" width="11.421875" style="234" customWidth="1"/>
  </cols>
  <sheetData>
    <row r="1" spans="1:24" ht="27.75" customHeight="1" thickBot="1">
      <c r="A1" s="440"/>
      <c r="B1" s="440"/>
      <c r="C1" s="440"/>
      <c r="D1" s="440"/>
      <c r="E1" s="440"/>
      <c r="F1" s="440"/>
      <c r="G1" s="440"/>
      <c r="H1" s="440"/>
      <c r="I1" s="440"/>
      <c r="J1" s="440"/>
      <c r="K1" s="440"/>
      <c r="L1" s="440"/>
      <c r="M1" s="440"/>
      <c r="N1" s="440"/>
      <c r="O1" s="440"/>
      <c r="P1" s="440"/>
      <c r="Q1" s="440"/>
      <c r="R1" s="440"/>
      <c r="S1" s="440"/>
      <c r="T1" s="440"/>
      <c r="U1" s="440"/>
      <c r="V1" s="440"/>
      <c r="W1" s="440"/>
      <c r="X1" s="440"/>
    </row>
    <row r="2" spans="1:24" ht="15.75">
      <c r="A2" s="876" t="s">
        <v>157</v>
      </c>
      <c r="B2" s="877"/>
      <c r="C2" s="877"/>
      <c r="D2" s="877"/>
      <c r="E2" s="877"/>
      <c r="F2" s="877"/>
      <c r="G2" s="877"/>
      <c r="H2" s="877"/>
      <c r="I2" s="877"/>
      <c r="J2" s="877"/>
      <c r="K2" s="877"/>
      <c r="L2" s="877"/>
      <c r="M2" s="877"/>
      <c r="N2" s="877"/>
      <c r="O2" s="877"/>
      <c r="P2" s="877"/>
      <c r="Q2" s="877"/>
      <c r="R2" s="877"/>
      <c r="S2" s="877"/>
      <c r="T2" s="877"/>
      <c r="U2" s="877"/>
      <c r="V2" s="877"/>
      <c r="W2" s="878"/>
      <c r="X2" s="440"/>
    </row>
    <row r="3" spans="1:24" ht="15.75">
      <c r="A3" s="879" t="s">
        <v>351</v>
      </c>
      <c r="B3" s="880"/>
      <c r="C3" s="880"/>
      <c r="D3" s="880"/>
      <c r="E3" s="880"/>
      <c r="F3" s="880"/>
      <c r="G3" s="880"/>
      <c r="H3" s="880"/>
      <c r="I3" s="880"/>
      <c r="J3" s="880"/>
      <c r="K3" s="880"/>
      <c r="L3" s="880"/>
      <c r="M3" s="880"/>
      <c r="N3" s="880"/>
      <c r="O3" s="880"/>
      <c r="P3" s="880"/>
      <c r="Q3" s="880"/>
      <c r="R3" s="880"/>
      <c r="S3" s="880"/>
      <c r="T3" s="880"/>
      <c r="U3" s="880"/>
      <c r="V3" s="880"/>
      <c r="W3" s="881"/>
      <c r="X3" s="440"/>
    </row>
    <row r="4" spans="1:24" ht="15.75">
      <c r="A4" s="882" t="s">
        <v>33</v>
      </c>
      <c r="B4" s="883"/>
      <c r="C4" s="883"/>
      <c r="D4" s="883"/>
      <c r="E4" s="883"/>
      <c r="F4" s="883"/>
      <c r="G4" s="883"/>
      <c r="H4" s="883"/>
      <c r="I4" s="883"/>
      <c r="J4" s="883"/>
      <c r="K4" s="883"/>
      <c r="L4" s="883"/>
      <c r="M4" s="883"/>
      <c r="N4" s="883"/>
      <c r="O4" s="883"/>
      <c r="P4" s="883"/>
      <c r="Q4" s="883"/>
      <c r="R4" s="883"/>
      <c r="S4" s="883"/>
      <c r="T4" s="883"/>
      <c r="U4" s="883"/>
      <c r="V4" s="883"/>
      <c r="W4" s="884"/>
      <c r="X4" s="440"/>
    </row>
    <row r="5" spans="1:24" ht="15">
      <c r="A5" s="494"/>
      <c r="B5" s="495"/>
      <c r="C5" s="495"/>
      <c r="D5" s="495"/>
      <c r="E5" s="495"/>
      <c r="F5" s="495"/>
      <c r="G5" s="495"/>
      <c r="H5" s="495"/>
      <c r="I5" s="495"/>
      <c r="J5" s="495"/>
      <c r="K5" s="495"/>
      <c r="L5" s="495"/>
      <c r="M5" s="495"/>
      <c r="N5" s="495"/>
      <c r="O5" s="495"/>
      <c r="P5" s="495"/>
      <c r="Q5" s="495"/>
      <c r="R5" s="495"/>
      <c r="S5" s="495"/>
      <c r="T5" s="495"/>
      <c r="U5" s="495"/>
      <c r="V5" s="495"/>
      <c r="W5" s="188"/>
      <c r="X5" s="440"/>
    </row>
    <row r="6" spans="1:24" ht="12.75" customHeight="1">
      <c r="A6" s="867" t="s">
        <v>4</v>
      </c>
      <c r="B6" s="868"/>
      <c r="C6" s="873" t="s">
        <v>92</v>
      </c>
      <c r="D6" s="874"/>
      <c r="E6" s="874"/>
      <c r="F6" s="874"/>
      <c r="G6" s="874"/>
      <c r="H6" s="874"/>
      <c r="I6" s="874"/>
      <c r="J6" s="874"/>
      <c r="K6" s="874"/>
      <c r="L6" s="874"/>
      <c r="M6" s="874"/>
      <c r="N6" s="874"/>
      <c r="O6" s="874"/>
      <c r="P6" s="874"/>
      <c r="Q6" s="874"/>
      <c r="R6" s="874"/>
      <c r="S6" s="874"/>
      <c r="T6" s="874"/>
      <c r="U6" s="874"/>
      <c r="V6" s="874"/>
      <c r="W6" s="875"/>
      <c r="X6" s="440"/>
    </row>
    <row r="7" spans="1:24" ht="15">
      <c r="A7" s="869"/>
      <c r="B7" s="870"/>
      <c r="C7" s="8">
        <v>0</v>
      </c>
      <c r="D7" s="8">
        <v>1</v>
      </c>
      <c r="E7" s="8">
        <v>2</v>
      </c>
      <c r="F7" s="8">
        <v>3</v>
      </c>
      <c r="G7" s="8">
        <v>4</v>
      </c>
      <c r="H7" s="8">
        <v>5</v>
      </c>
      <c r="I7" s="8">
        <v>6</v>
      </c>
      <c r="J7" s="8">
        <v>7</v>
      </c>
      <c r="K7" s="8">
        <v>8</v>
      </c>
      <c r="L7" s="8">
        <v>9</v>
      </c>
      <c r="M7" s="8">
        <v>10</v>
      </c>
      <c r="N7" s="8">
        <v>11</v>
      </c>
      <c r="O7" s="8">
        <v>12</v>
      </c>
      <c r="P7" s="8">
        <v>13</v>
      </c>
      <c r="Q7" s="8">
        <v>14</v>
      </c>
      <c r="R7" s="8">
        <v>15</v>
      </c>
      <c r="S7" s="8">
        <v>16</v>
      </c>
      <c r="T7" s="8">
        <v>17</v>
      </c>
      <c r="U7" s="8">
        <v>18</v>
      </c>
      <c r="V7" s="8">
        <v>19</v>
      </c>
      <c r="W7" s="114">
        <v>20</v>
      </c>
      <c r="X7" s="440"/>
    </row>
    <row r="8" spans="1:24" ht="15">
      <c r="A8" s="871"/>
      <c r="B8" s="872"/>
      <c r="C8" s="8">
        <f>'F2'!C8</f>
        <v>2011</v>
      </c>
      <c r="D8" s="8">
        <f>+C8+1</f>
        <v>2012</v>
      </c>
      <c r="E8" s="8">
        <f aca="true" t="shared" si="0" ref="E8:W8">+D8+1</f>
        <v>2013</v>
      </c>
      <c r="F8" s="8">
        <f t="shared" si="0"/>
        <v>2014</v>
      </c>
      <c r="G8" s="8">
        <f t="shared" si="0"/>
        <v>2015</v>
      </c>
      <c r="H8" s="8">
        <f t="shared" si="0"/>
        <v>2016</v>
      </c>
      <c r="I8" s="8">
        <f t="shared" si="0"/>
        <v>2017</v>
      </c>
      <c r="J8" s="8">
        <f t="shared" si="0"/>
        <v>2018</v>
      </c>
      <c r="K8" s="8">
        <f t="shared" si="0"/>
        <v>2019</v>
      </c>
      <c r="L8" s="8">
        <f t="shared" si="0"/>
        <v>2020</v>
      </c>
      <c r="M8" s="8">
        <f t="shared" si="0"/>
        <v>2021</v>
      </c>
      <c r="N8" s="8">
        <f t="shared" si="0"/>
        <v>2022</v>
      </c>
      <c r="O8" s="8">
        <f t="shared" si="0"/>
        <v>2023</v>
      </c>
      <c r="P8" s="8">
        <f t="shared" si="0"/>
        <v>2024</v>
      </c>
      <c r="Q8" s="8">
        <f t="shared" si="0"/>
        <v>2025</v>
      </c>
      <c r="R8" s="8">
        <f t="shared" si="0"/>
        <v>2026</v>
      </c>
      <c r="S8" s="8">
        <f t="shared" si="0"/>
        <v>2027</v>
      </c>
      <c r="T8" s="8">
        <f t="shared" si="0"/>
        <v>2028</v>
      </c>
      <c r="U8" s="8">
        <f t="shared" si="0"/>
        <v>2029</v>
      </c>
      <c r="V8" s="8">
        <f t="shared" si="0"/>
        <v>2030</v>
      </c>
      <c r="W8" s="114">
        <f t="shared" si="0"/>
        <v>2031</v>
      </c>
      <c r="X8" s="440"/>
    </row>
    <row r="9" spans="1:24" ht="15">
      <c r="A9" s="473"/>
      <c r="B9" s="474"/>
      <c r="C9" s="474"/>
      <c r="D9" s="474"/>
      <c r="E9" s="474"/>
      <c r="F9" s="474"/>
      <c r="G9" s="474"/>
      <c r="H9" s="474"/>
      <c r="I9" s="474"/>
      <c r="J9" s="474"/>
      <c r="K9" s="474"/>
      <c r="L9" s="474"/>
      <c r="M9" s="474"/>
      <c r="N9" s="474"/>
      <c r="O9" s="474"/>
      <c r="P9" s="474"/>
      <c r="Q9" s="474"/>
      <c r="R9" s="474"/>
      <c r="S9" s="474"/>
      <c r="T9" s="474"/>
      <c r="U9" s="474"/>
      <c r="V9" s="474"/>
      <c r="W9" s="475"/>
      <c r="X9" s="440"/>
    </row>
    <row r="10" spans="1:24" ht="15">
      <c r="A10" s="458" t="s">
        <v>0</v>
      </c>
      <c r="B10" s="449" t="s">
        <v>10</v>
      </c>
      <c r="C10" s="449"/>
      <c r="D10" s="449"/>
      <c r="E10" s="449"/>
      <c r="F10" s="449"/>
      <c r="G10" s="449"/>
      <c r="H10" s="449"/>
      <c r="I10" s="449"/>
      <c r="J10" s="449"/>
      <c r="K10" s="449"/>
      <c r="L10" s="449"/>
      <c r="M10" s="449"/>
      <c r="N10" s="449"/>
      <c r="O10" s="449"/>
      <c r="P10" s="449"/>
      <c r="Q10" s="449"/>
      <c r="R10" s="449"/>
      <c r="S10" s="449"/>
      <c r="T10" s="449"/>
      <c r="U10" s="449"/>
      <c r="V10" s="449"/>
      <c r="W10" s="496"/>
      <c r="X10" s="440"/>
    </row>
    <row r="11" spans="1:24" ht="15">
      <c r="A11" s="497"/>
      <c r="B11" s="498" t="s">
        <v>50</v>
      </c>
      <c r="C11" s="498"/>
      <c r="D11" s="229">
        <f>'F2'!C36*$L$33</f>
        <v>253279.68</v>
      </c>
      <c r="E11" s="229">
        <f>'F2'!D36*$L$33</f>
        <v>256491.56</v>
      </c>
      <c r="F11" s="229">
        <f>'F2'!E36*$L$33</f>
        <v>259244.59999999998</v>
      </c>
      <c r="G11" s="229">
        <f>'F2'!F36*$L$33</f>
        <v>262456.48</v>
      </c>
      <c r="H11" s="229">
        <f>'F2'!G36*$L$33</f>
        <v>265209.51999999996</v>
      </c>
      <c r="I11" s="229">
        <f>'F2'!H36*$L$33</f>
        <v>268421.39999999997</v>
      </c>
      <c r="J11" s="229">
        <f>'F2'!I36*$L$33</f>
        <v>271633.27999999997</v>
      </c>
      <c r="K11" s="229">
        <f>'F2'!J36*$L$33</f>
        <v>274845.16</v>
      </c>
      <c r="L11" s="229">
        <f>'F2'!K36*$L$33</f>
        <v>278057.04</v>
      </c>
      <c r="M11" s="229">
        <f>'F2'!L36*$L$33</f>
        <v>281268.92</v>
      </c>
      <c r="N11" s="229">
        <f>'F2'!M36*$L$33</f>
        <v>284480.8</v>
      </c>
      <c r="O11" s="229">
        <f>'F2'!N36*$L$33</f>
        <v>287692.68</v>
      </c>
      <c r="P11" s="229">
        <f>'F2'!O36*$L$33</f>
        <v>290904.56</v>
      </c>
      <c r="Q11" s="229">
        <f>'F2'!P36*$L$33</f>
        <v>294575.27999999997</v>
      </c>
      <c r="R11" s="229">
        <f>'F2'!Q36*$L$33</f>
        <v>297787.16</v>
      </c>
      <c r="S11" s="229">
        <f>'F2'!R36*$L$33</f>
        <v>301457.88</v>
      </c>
      <c r="T11" s="229">
        <f>'F2'!S36*$L$33</f>
        <v>304669.76</v>
      </c>
      <c r="U11" s="229">
        <f>'F2'!T36*$L$33</f>
        <v>308340.48</v>
      </c>
      <c r="V11" s="229">
        <f>'F2'!U36*$L$33</f>
        <v>312011.2</v>
      </c>
      <c r="W11" s="499">
        <f>'F2'!V36*$L$33</f>
        <v>315681.92</v>
      </c>
      <c r="X11" s="440"/>
    </row>
    <row r="12" spans="1:24" ht="15">
      <c r="A12" s="500"/>
      <c r="B12" s="498" t="s">
        <v>51</v>
      </c>
      <c r="C12" s="501"/>
      <c r="D12" s="229">
        <f>'F2'!C36*$L$34</f>
        <v>143586.24</v>
      </c>
      <c r="E12" s="229">
        <f>'F2'!D36*$L$34</f>
        <v>145407.08000000002</v>
      </c>
      <c r="F12" s="229">
        <f>'F2'!E36*$L$34</f>
        <v>146967.8</v>
      </c>
      <c r="G12" s="229">
        <f>'F2'!F36*$L$34</f>
        <v>148788.64</v>
      </c>
      <c r="H12" s="229">
        <f>'F2'!G36*$L$34</f>
        <v>150349.36000000002</v>
      </c>
      <c r="I12" s="229">
        <f>'F2'!H36*$L$34</f>
        <v>152170.2</v>
      </c>
      <c r="J12" s="229">
        <f>'F2'!I36*$L$34</f>
        <v>153991.04</v>
      </c>
      <c r="K12" s="229">
        <f>'F2'!J36*$L$34</f>
        <v>155811.88</v>
      </c>
      <c r="L12" s="229">
        <f>'F2'!K36*$L$34</f>
        <v>157632.72</v>
      </c>
      <c r="M12" s="229">
        <f>'F2'!L36*$L$34</f>
        <v>159453.56</v>
      </c>
      <c r="N12" s="229">
        <f>'F2'!M36*$L$34</f>
        <v>161274.4</v>
      </c>
      <c r="O12" s="229">
        <f>'F2'!N36*$L$34</f>
        <v>163095.24</v>
      </c>
      <c r="P12" s="229">
        <f>'F2'!O36*$L$34</f>
        <v>164916.08000000002</v>
      </c>
      <c r="Q12" s="229">
        <f>'F2'!P36*$L$34</f>
        <v>166997.04</v>
      </c>
      <c r="R12" s="229">
        <f>'F2'!Q36*$L$34</f>
        <v>168817.88</v>
      </c>
      <c r="S12" s="229">
        <f>'F2'!R36*$L$34</f>
        <v>170898.84</v>
      </c>
      <c r="T12" s="229">
        <f>'F2'!S36*$L$34</f>
        <v>172719.68</v>
      </c>
      <c r="U12" s="229">
        <f>'F2'!T36*$L$34</f>
        <v>174800.64</v>
      </c>
      <c r="V12" s="229">
        <f>'F2'!U36*$L$34</f>
        <v>176881.6</v>
      </c>
      <c r="W12" s="499">
        <f>'F2'!V36*$L$34</f>
        <v>178962.56</v>
      </c>
      <c r="X12" s="440"/>
    </row>
    <row r="13" spans="1:24" ht="15">
      <c r="A13" s="500"/>
      <c r="B13" s="498" t="s">
        <v>226</v>
      </c>
      <c r="C13" s="501"/>
      <c r="D13" s="502">
        <f>'F2'!C36*$L$35*$L$38</f>
        <v>34395.12</v>
      </c>
      <c r="E13" s="502">
        <f>'F2'!D36*$L$35*$L$38</f>
        <v>34831.29</v>
      </c>
      <c r="F13" s="502">
        <f>'F2'!E36*$L$35*$L$38</f>
        <v>35205.15</v>
      </c>
      <c r="G13" s="502">
        <f>'F2'!F36*$L$35*$L$38</f>
        <v>35641.32</v>
      </c>
      <c r="H13" s="502">
        <f>'F2'!G36*$L$35*$L$38</f>
        <v>36015.18</v>
      </c>
      <c r="I13" s="502">
        <f>'F2'!H36*$L$35*$L$38</f>
        <v>36451.35</v>
      </c>
      <c r="J13" s="502">
        <f>'F2'!I36*$L$35*$L$38</f>
        <v>36887.520000000004</v>
      </c>
      <c r="K13" s="502">
        <f>'F2'!J36*$L$35*$L$38</f>
        <v>37323.69</v>
      </c>
      <c r="L13" s="502">
        <f>'F2'!K36*$L$35*$L$38</f>
        <v>37759.86000000001</v>
      </c>
      <c r="M13" s="502">
        <f>'F2'!L36*$L$35*$L$38</f>
        <v>38196.03</v>
      </c>
      <c r="N13" s="502">
        <f>'F2'!M36*$L$35*$L$38</f>
        <v>38632.200000000004</v>
      </c>
      <c r="O13" s="502">
        <f>'F2'!N36*$L$35*$L$38</f>
        <v>39068.37</v>
      </c>
      <c r="P13" s="502">
        <f>'F2'!O36*$L$35*$L$38</f>
        <v>39504.54000000001</v>
      </c>
      <c r="Q13" s="502">
        <f>'F2'!P36*$L$35*$L$38</f>
        <v>40003.020000000004</v>
      </c>
      <c r="R13" s="502">
        <f>'F2'!Q36*$L$35*$L$38</f>
        <v>40439.19</v>
      </c>
      <c r="S13" s="502">
        <f>'F2'!R36*$L$35*$L$38</f>
        <v>40937.670000000006</v>
      </c>
      <c r="T13" s="502">
        <f>'F2'!S36*$L$35*$L$38</f>
        <v>41373.840000000004</v>
      </c>
      <c r="U13" s="502">
        <f>'F2'!T36*$L$35*$L$38</f>
        <v>41872.32000000001</v>
      </c>
      <c r="V13" s="502">
        <f>'F2'!U36*$L$35*$L$38</f>
        <v>42370.8</v>
      </c>
      <c r="W13" s="503">
        <f>'F2'!V36*$L$35*$L$38</f>
        <v>42869.28</v>
      </c>
      <c r="X13" s="440"/>
    </row>
    <row r="14" spans="1:24" ht="15">
      <c r="A14" s="500"/>
      <c r="B14" s="498" t="s">
        <v>53</v>
      </c>
      <c r="C14" s="501"/>
      <c r="D14" s="229">
        <f>'F2'!C50*$L$36</f>
        <v>0</v>
      </c>
      <c r="E14" s="229">
        <f>'F2'!D50*$L$36</f>
        <v>0</v>
      </c>
      <c r="F14" s="229">
        <f>'F2'!E50*$L$36</f>
        <v>0</v>
      </c>
      <c r="G14" s="229">
        <f>'F2'!F50*$L$36</f>
        <v>0</v>
      </c>
      <c r="H14" s="229">
        <f>'F2'!G50*$L$36</f>
        <v>0</v>
      </c>
      <c r="I14" s="229">
        <f>'F2'!H50*$L$36</f>
        <v>0</v>
      </c>
      <c r="J14" s="229">
        <f>'F2'!I50*$L$36</f>
        <v>0</v>
      </c>
      <c r="K14" s="229">
        <f>'F2'!J50*$L$36</f>
        <v>0</v>
      </c>
      <c r="L14" s="229">
        <f>'F2'!K50*$L$36</f>
        <v>0</v>
      </c>
      <c r="M14" s="229">
        <f>'F2'!L50*$L$36</f>
        <v>0</v>
      </c>
      <c r="N14" s="229">
        <f>'F2'!M50*$L$36</f>
        <v>0</v>
      </c>
      <c r="O14" s="229">
        <f>'F2'!N50*$L$36</f>
        <v>0</v>
      </c>
      <c r="P14" s="229">
        <f>'F2'!O50*$L$36</f>
        <v>0</v>
      </c>
      <c r="Q14" s="229">
        <f>'F2'!P50*$L$36</f>
        <v>0</v>
      </c>
      <c r="R14" s="229">
        <f>'F2'!Q50*$L$36</f>
        <v>0</v>
      </c>
      <c r="S14" s="229">
        <f>'F2'!R50*$L$36</f>
        <v>0</v>
      </c>
      <c r="T14" s="229">
        <f>'F2'!S50*$L$36</f>
        <v>0</v>
      </c>
      <c r="U14" s="229">
        <f>'F2'!T50*$L$36</f>
        <v>0</v>
      </c>
      <c r="V14" s="229">
        <f>'F2'!U50*$L$36</f>
        <v>0</v>
      </c>
      <c r="W14" s="499">
        <f>'F2'!V50*$L$36</f>
        <v>0</v>
      </c>
      <c r="X14" s="440"/>
    </row>
    <row r="15" spans="1:24" ht="15">
      <c r="A15" s="500"/>
      <c r="B15" s="498"/>
      <c r="C15" s="501"/>
      <c r="D15" s="504"/>
      <c r="E15" s="504"/>
      <c r="F15" s="504"/>
      <c r="G15" s="504"/>
      <c r="H15" s="504"/>
      <c r="I15" s="504"/>
      <c r="J15" s="504"/>
      <c r="K15" s="504"/>
      <c r="L15" s="504"/>
      <c r="M15" s="504"/>
      <c r="N15" s="504"/>
      <c r="O15" s="504"/>
      <c r="P15" s="504"/>
      <c r="Q15" s="504"/>
      <c r="R15" s="504"/>
      <c r="S15" s="504"/>
      <c r="T15" s="504"/>
      <c r="U15" s="504"/>
      <c r="V15" s="504"/>
      <c r="W15" s="505"/>
      <c r="X15" s="440"/>
    </row>
    <row r="16" spans="1:24" ht="15.75" customHeight="1">
      <c r="A16" s="500"/>
      <c r="B16" s="501" t="s">
        <v>34</v>
      </c>
      <c r="C16" s="501"/>
      <c r="D16" s="504">
        <f>SUM(D11:D15)</f>
        <v>431261.04</v>
      </c>
      <c r="E16" s="504">
        <f aca="true" t="shared" si="1" ref="E16:W16">SUM(E11:E15)</f>
        <v>436729.93</v>
      </c>
      <c r="F16" s="504">
        <f t="shared" si="1"/>
        <v>441417.55</v>
      </c>
      <c r="G16" s="504">
        <f t="shared" si="1"/>
        <v>446886.44</v>
      </c>
      <c r="H16" s="504">
        <f t="shared" si="1"/>
        <v>451574.06</v>
      </c>
      <c r="I16" s="504">
        <f t="shared" si="1"/>
        <v>457042.94999999995</v>
      </c>
      <c r="J16" s="504">
        <f t="shared" si="1"/>
        <v>462511.83999999997</v>
      </c>
      <c r="K16" s="504">
        <f t="shared" si="1"/>
        <v>467980.73</v>
      </c>
      <c r="L16" s="504">
        <f t="shared" si="1"/>
        <v>473449.62</v>
      </c>
      <c r="M16" s="504">
        <f t="shared" si="1"/>
        <v>478918.51</v>
      </c>
      <c r="N16" s="504">
        <f t="shared" si="1"/>
        <v>484387.39999999997</v>
      </c>
      <c r="O16" s="504">
        <f t="shared" si="1"/>
        <v>489856.29</v>
      </c>
      <c r="P16" s="504">
        <f t="shared" si="1"/>
        <v>495325.18000000005</v>
      </c>
      <c r="Q16" s="504">
        <f t="shared" si="1"/>
        <v>501575.33999999997</v>
      </c>
      <c r="R16" s="504">
        <f t="shared" si="1"/>
        <v>507044.23</v>
      </c>
      <c r="S16" s="504">
        <f t="shared" si="1"/>
        <v>513294.38999999996</v>
      </c>
      <c r="T16" s="504">
        <f t="shared" si="1"/>
        <v>518763.28</v>
      </c>
      <c r="U16" s="504">
        <f t="shared" si="1"/>
        <v>525013.44</v>
      </c>
      <c r="V16" s="504">
        <f t="shared" si="1"/>
        <v>531263.6000000001</v>
      </c>
      <c r="W16" s="505">
        <f t="shared" si="1"/>
        <v>537513.76</v>
      </c>
      <c r="X16" s="440"/>
    </row>
    <row r="17" spans="1:24" ht="15">
      <c r="A17" s="473"/>
      <c r="B17" s="474"/>
      <c r="C17" s="474"/>
      <c r="D17" s="504"/>
      <c r="E17" s="506"/>
      <c r="F17" s="506"/>
      <c r="G17" s="506"/>
      <c r="H17" s="506"/>
      <c r="I17" s="506"/>
      <c r="J17" s="506"/>
      <c r="K17" s="506"/>
      <c r="L17" s="506"/>
      <c r="M17" s="506"/>
      <c r="N17" s="506"/>
      <c r="O17" s="506"/>
      <c r="P17" s="506"/>
      <c r="Q17" s="506"/>
      <c r="R17" s="506"/>
      <c r="S17" s="506"/>
      <c r="T17" s="506"/>
      <c r="U17" s="506"/>
      <c r="V17" s="506"/>
      <c r="W17" s="507"/>
      <c r="X17" s="440"/>
    </row>
    <row r="18" spans="1:24" ht="15">
      <c r="A18" s="458" t="s">
        <v>1</v>
      </c>
      <c r="B18" s="449" t="s">
        <v>11</v>
      </c>
      <c r="C18" s="449"/>
      <c r="D18" s="508"/>
      <c r="E18" s="509"/>
      <c r="F18" s="509"/>
      <c r="G18" s="509"/>
      <c r="H18" s="509"/>
      <c r="I18" s="509"/>
      <c r="J18" s="509"/>
      <c r="K18" s="509"/>
      <c r="L18" s="509"/>
      <c r="M18" s="509"/>
      <c r="N18" s="509"/>
      <c r="O18" s="509"/>
      <c r="P18" s="509"/>
      <c r="Q18" s="509"/>
      <c r="R18" s="509"/>
      <c r="S18" s="509"/>
      <c r="T18" s="509"/>
      <c r="U18" s="509"/>
      <c r="V18" s="509"/>
      <c r="W18" s="510"/>
      <c r="X18" s="440"/>
    </row>
    <row r="19" spans="1:24" ht="15">
      <c r="A19" s="458"/>
      <c r="B19" s="498"/>
      <c r="C19" s="498"/>
      <c r="D19" s="229"/>
      <c r="E19" s="229"/>
      <c r="F19" s="229"/>
      <c r="G19" s="229"/>
      <c r="H19" s="229"/>
      <c r="I19" s="229"/>
      <c r="J19" s="229"/>
      <c r="K19" s="229"/>
      <c r="L19" s="229"/>
      <c r="M19" s="229"/>
      <c r="N19" s="229"/>
      <c r="O19" s="229"/>
      <c r="P19" s="229"/>
      <c r="Q19" s="229"/>
      <c r="R19" s="229"/>
      <c r="S19" s="229"/>
      <c r="T19" s="229"/>
      <c r="U19" s="229"/>
      <c r="V19" s="229"/>
      <c r="W19" s="499"/>
      <c r="X19" s="440"/>
    </row>
    <row r="20" spans="1:24" ht="15" hidden="1">
      <c r="A20" s="458"/>
      <c r="B20" s="498"/>
      <c r="C20" s="498"/>
      <c r="D20" s="229"/>
      <c r="E20" s="229"/>
      <c r="F20" s="229"/>
      <c r="G20" s="229"/>
      <c r="H20" s="229"/>
      <c r="I20" s="229"/>
      <c r="J20" s="229"/>
      <c r="K20" s="229"/>
      <c r="L20" s="229"/>
      <c r="M20" s="229"/>
      <c r="N20" s="229"/>
      <c r="O20" s="229"/>
      <c r="P20" s="229"/>
      <c r="Q20" s="229"/>
      <c r="R20" s="229"/>
      <c r="S20" s="229"/>
      <c r="T20" s="229"/>
      <c r="U20" s="229"/>
      <c r="V20" s="229"/>
      <c r="W20" s="499"/>
      <c r="X20" s="440"/>
    </row>
    <row r="21" spans="1:24" ht="15" hidden="1">
      <c r="A21" s="458"/>
      <c r="B21" s="498"/>
      <c r="C21" s="498"/>
      <c r="D21" s="229"/>
      <c r="E21" s="229"/>
      <c r="F21" s="229"/>
      <c r="G21" s="229"/>
      <c r="H21" s="229"/>
      <c r="I21" s="229"/>
      <c r="J21" s="229"/>
      <c r="K21" s="229"/>
      <c r="L21" s="229"/>
      <c r="M21" s="229"/>
      <c r="N21" s="229"/>
      <c r="O21" s="229"/>
      <c r="P21" s="229"/>
      <c r="Q21" s="229"/>
      <c r="R21" s="229"/>
      <c r="S21" s="229"/>
      <c r="T21" s="229"/>
      <c r="U21" s="229"/>
      <c r="V21" s="229"/>
      <c r="W21" s="499"/>
      <c r="X21" s="440"/>
    </row>
    <row r="22" spans="1:24" ht="15" hidden="1">
      <c r="A22" s="458"/>
      <c r="B22" s="498"/>
      <c r="C22" s="498"/>
      <c r="D22" s="229"/>
      <c r="E22" s="229"/>
      <c r="F22" s="229"/>
      <c r="G22" s="229"/>
      <c r="H22" s="229"/>
      <c r="I22" s="229"/>
      <c r="J22" s="229"/>
      <c r="K22" s="229"/>
      <c r="L22" s="229"/>
      <c r="M22" s="229"/>
      <c r="N22" s="229"/>
      <c r="O22" s="229"/>
      <c r="P22" s="229"/>
      <c r="Q22" s="229"/>
      <c r="R22" s="229"/>
      <c r="S22" s="229"/>
      <c r="T22" s="229"/>
      <c r="U22" s="229"/>
      <c r="V22" s="229"/>
      <c r="W22" s="499"/>
      <c r="X22" s="440"/>
    </row>
    <row r="23" spans="1:24" ht="15" hidden="1">
      <c r="A23" s="458"/>
      <c r="B23" s="498"/>
      <c r="C23" s="498"/>
      <c r="D23" s="229"/>
      <c r="E23" s="229"/>
      <c r="F23" s="229"/>
      <c r="G23" s="229"/>
      <c r="H23" s="229"/>
      <c r="I23" s="229"/>
      <c r="J23" s="229"/>
      <c r="K23" s="229"/>
      <c r="L23" s="229"/>
      <c r="M23" s="229"/>
      <c r="N23" s="229"/>
      <c r="O23" s="229"/>
      <c r="P23" s="229"/>
      <c r="Q23" s="229"/>
      <c r="R23" s="229"/>
      <c r="S23" s="229"/>
      <c r="T23" s="229"/>
      <c r="U23" s="229"/>
      <c r="V23" s="229"/>
      <c r="W23" s="499"/>
      <c r="X23" s="440"/>
    </row>
    <row r="24" spans="1:24" ht="15" hidden="1">
      <c r="A24" s="458"/>
      <c r="B24" s="498"/>
      <c r="C24" s="498"/>
      <c r="D24" s="229"/>
      <c r="E24" s="229"/>
      <c r="F24" s="229"/>
      <c r="G24" s="229"/>
      <c r="H24" s="229"/>
      <c r="I24" s="229"/>
      <c r="J24" s="229"/>
      <c r="K24" s="229"/>
      <c r="L24" s="229"/>
      <c r="M24" s="229"/>
      <c r="N24" s="229"/>
      <c r="O24" s="229"/>
      <c r="P24" s="229"/>
      <c r="Q24" s="229"/>
      <c r="R24" s="229"/>
      <c r="S24" s="229"/>
      <c r="T24" s="229"/>
      <c r="U24" s="229"/>
      <c r="V24" s="229"/>
      <c r="W24" s="499"/>
      <c r="X24" s="440"/>
    </row>
    <row r="25" spans="1:24" ht="15.75" customHeight="1">
      <c r="A25" s="458"/>
      <c r="B25" s="498" t="s">
        <v>36</v>
      </c>
      <c r="C25" s="498"/>
      <c r="D25" s="229">
        <f>SUM(D19:D24)</f>
        <v>0</v>
      </c>
      <c r="E25" s="229">
        <f aca="true" t="shared" si="2" ref="E25:W25">SUM(E19:E24)</f>
        <v>0</v>
      </c>
      <c r="F25" s="229">
        <f t="shared" si="2"/>
        <v>0</v>
      </c>
      <c r="G25" s="229">
        <f t="shared" si="2"/>
        <v>0</v>
      </c>
      <c r="H25" s="229">
        <f t="shared" si="2"/>
        <v>0</v>
      </c>
      <c r="I25" s="229">
        <f t="shared" si="2"/>
        <v>0</v>
      </c>
      <c r="J25" s="229">
        <f t="shared" si="2"/>
        <v>0</v>
      </c>
      <c r="K25" s="229">
        <f t="shared" si="2"/>
        <v>0</v>
      </c>
      <c r="L25" s="229">
        <f t="shared" si="2"/>
        <v>0</v>
      </c>
      <c r="M25" s="229">
        <f t="shared" si="2"/>
        <v>0</v>
      </c>
      <c r="N25" s="229">
        <f t="shared" si="2"/>
        <v>0</v>
      </c>
      <c r="O25" s="229">
        <f t="shared" si="2"/>
        <v>0</v>
      </c>
      <c r="P25" s="229">
        <f t="shared" si="2"/>
        <v>0</v>
      </c>
      <c r="Q25" s="229">
        <f t="shared" si="2"/>
        <v>0</v>
      </c>
      <c r="R25" s="229">
        <f t="shared" si="2"/>
        <v>0</v>
      </c>
      <c r="S25" s="229">
        <f t="shared" si="2"/>
        <v>0</v>
      </c>
      <c r="T25" s="229">
        <f t="shared" si="2"/>
        <v>0</v>
      </c>
      <c r="U25" s="229">
        <f t="shared" si="2"/>
        <v>0</v>
      </c>
      <c r="V25" s="229">
        <f t="shared" si="2"/>
        <v>0</v>
      </c>
      <c r="W25" s="499">
        <f t="shared" si="2"/>
        <v>0</v>
      </c>
      <c r="X25" s="440"/>
    </row>
    <row r="26" spans="1:24" ht="15">
      <c r="A26" s="458"/>
      <c r="B26" s="449"/>
      <c r="C26" s="449"/>
      <c r="D26" s="509"/>
      <c r="E26" s="509"/>
      <c r="F26" s="509"/>
      <c r="G26" s="509"/>
      <c r="H26" s="509"/>
      <c r="I26" s="509"/>
      <c r="J26" s="509"/>
      <c r="K26" s="509"/>
      <c r="L26" s="509"/>
      <c r="M26" s="509"/>
      <c r="N26" s="509"/>
      <c r="O26" s="509"/>
      <c r="P26" s="509"/>
      <c r="Q26" s="509"/>
      <c r="R26" s="509"/>
      <c r="S26" s="509"/>
      <c r="T26" s="509"/>
      <c r="U26" s="509"/>
      <c r="V26" s="509"/>
      <c r="W26" s="510"/>
      <c r="X26" s="440"/>
    </row>
    <row r="27" spans="1:24" ht="15">
      <c r="A27" s="473"/>
      <c r="B27" s="474"/>
      <c r="C27" s="474"/>
      <c r="D27" s="506"/>
      <c r="E27" s="506"/>
      <c r="F27" s="506"/>
      <c r="G27" s="506"/>
      <c r="H27" s="506"/>
      <c r="I27" s="506"/>
      <c r="J27" s="506"/>
      <c r="K27" s="506"/>
      <c r="L27" s="506"/>
      <c r="M27" s="506"/>
      <c r="N27" s="506"/>
      <c r="O27" s="506"/>
      <c r="P27" s="506"/>
      <c r="Q27" s="506"/>
      <c r="R27" s="506"/>
      <c r="S27" s="506"/>
      <c r="T27" s="506"/>
      <c r="U27" s="506"/>
      <c r="V27" s="506"/>
      <c r="W27" s="507"/>
      <c r="X27" s="440"/>
    </row>
    <row r="28" spans="1:24" ht="15">
      <c r="A28" s="458" t="s">
        <v>8</v>
      </c>
      <c r="B28" s="511" t="s">
        <v>26</v>
      </c>
      <c r="C28" s="511"/>
      <c r="D28" s="512">
        <f>+D16-D25</f>
        <v>431261.04</v>
      </c>
      <c r="E28" s="512">
        <f aca="true" t="shared" si="3" ref="E28:W28">+E16-E25</f>
        <v>436729.93</v>
      </c>
      <c r="F28" s="512">
        <f t="shared" si="3"/>
        <v>441417.55</v>
      </c>
      <c r="G28" s="512">
        <f t="shared" si="3"/>
        <v>446886.44</v>
      </c>
      <c r="H28" s="512">
        <f t="shared" si="3"/>
        <v>451574.06</v>
      </c>
      <c r="I28" s="512">
        <f t="shared" si="3"/>
        <v>457042.94999999995</v>
      </c>
      <c r="J28" s="512">
        <f t="shared" si="3"/>
        <v>462511.83999999997</v>
      </c>
      <c r="K28" s="512">
        <f t="shared" si="3"/>
        <v>467980.73</v>
      </c>
      <c r="L28" s="512">
        <f t="shared" si="3"/>
        <v>473449.62</v>
      </c>
      <c r="M28" s="512">
        <f t="shared" si="3"/>
        <v>478918.51</v>
      </c>
      <c r="N28" s="512">
        <f t="shared" si="3"/>
        <v>484387.39999999997</v>
      </c>
      <c r="O28" s="512">
        <f t="shared" si="3"/>
        <v>489856.29</v>
      </c>
      <c r="P28" s="512">
        <f t="shared" si="3"/>
        <v>495325.18000000005</v>
      </c>
      <c r="Q28" s="512">
        <f t="shared" si="3"/>
        <v>501575.33999999997</v>
      </c>
      <c r="R28" s="512">
        <f t="shared" si="3"/>
        <v>507044.23</v>
      </c>
      <c r="S28" s="512">
        <f t="shared" si="3"/>
        <v>513294.38999999996</v>
      </c>
      <c r="T28" s="512">
        <f t="shared" si="3"/>
        <v>518763.28</v>
      </c>
      <c r="U28" s="512">
        <f t="shared" si="3"/>
        <v>525013.44</v>
      </c>
      <c r="V28" s="512">
        <f t="shared" si="3"/>
        <v>531263.6000000001</v>
      </c>
      <c r="W28" s="513">
        <f t="shared" si="3"/>
        <v>537513.76</v>
      </c>
      <c r="X28" s="440"/>
    </row>
    <row r="29" spans="1:24" ht="15.75" thickBot="1">
      <c r="A29" s="514"/>
      <c r="B29" s="515"/>
      <c r="C29" s="515"/>
      <c r="D29" s="516"/>
      <c r="E29" s="516"/>
      <c r="F29" s="516"/>
      <c r="G29" s="516"/>
      <c r="H29" s="516"/>
      <c r="I29" s="516"/>
      <c r="J29" s="516"/>
      <c r="K29" s="516"/>
      <c r="L29" s="516"/>
      <c r="M29" s="516"/>
      <c r="N29" s="516"/>
      <c r="O29" s="516"/>
      <c r="P29" s="516"/>
      <c r="Q29" s="516"/>
      <c r="R29" s="516"/>
      <c r="S29" s="516"/>
      <c r="T29" s="516"/>
      <c r="U29" s="516"/>
      <c r="V29" s="516"/>
      <c r="W29" s="517"/>
      <c r="X29" s="440"/>
    </row>
    <row r="30" spans="1:24" ht="15">
      <c r="A30" s="440"/>
      <c r="B30" s="440"/>
      <c r="C30" s="440"/>
      <c r="D30" s="440"/>
      <c r="E30" s="440"/>
      <c r="F30" s="440"/>
      <c r="G30" s="440"/>
      <c r="H30" s="440"/>
      <c r="I30" s="440"/>
      <c r="J30" s="440"/>
      <c r="K30" s="440"/>
      <c r="L30" s="440"/>
      <c r="M30" s="440"/>
      <c r="N30" s="440"/>
      <c r="O30" s="440"/>
      <c r="P30" s="440"/>
      <c r="Q30" s="440"/>
      <c r="R30" s="440"/>
      <c r="S30" s="440"/>
      <c r="T30" s="440"/>
      <c r="U30" s="440"/>
      <c r="V30" s="440"/>
      <c r="W30" s="440"/>
      <c r="X30" s="440"/>
    </row>
    <row r="31" spans="1:24" ht="15" hidden="1">
      <c r="A31" s="440"/>
      <c r="B31" s="440"/>
      <c r="C31" s="440"/>
      <c r="D31" s="440"/>
      <c r="J31" s="440"/>
      <c r="K31" s="440"/>
      <c r="L31" s="440"/>
      <c r="M31" s="440"/>
      <c r="N31" s="440"/>
      <c r="O31" s="440"/>
      <c r="P31" s="440"/>
      <c r="Q31" s="440"/>
      <c r="R31" s="440"/>
      <c r="S31" s="440"/>
      <c r="T31" s="440"/>
      <c r="U31" s="440"/>
      <c r="V31" s="440"/>
      <c r="W31" s="440"/>
      <c r="X31" s="440"/>
    </row>
    <row r="32" spans="1:24" ht="25.5" hidden="1">
      <c r="A32" s="440"/>
      <c r="B32" s="518" t="s">
        <v>247</v>
      </c>
      <c r="C32" s="888" t="s">
        <v>127</v>
      </c>
      <c r="D32" s="888"/>
      <c r="E32" s="518" t="s">
        <v>128</v>
      </c>
      <c r="F32" s="518" t="s">
        <v>126</v>
      </c>
      <c r="G32" s="440"/>
      <c r="H32" s="518" t="s">
        <v>278</v>
      </c>
      <c r="I32" s="440"/>
      <c r="J32" s="518" t="s">
        <v>281</v>
      </c>
      <c r="K32" s="440"/>
      <c r="L32" s="518" t="s">
        <v>225</v>
      </c>
      <c r="M32" s="440"/>
      <c r="N32" s="440"/>
      <c r="O32" s="440"/>
      <c r="P32" s="440"/>
      <c r="Q32" s="440"/>
      <c r="R32" s="440"/>
      <c r="S32" s="440"/>
      <c r="T32" s="440"/>
      <c r="U32" s="440"/>
      <c r="V32" s="440"/>
      <c r="W32" s="440"/>
      <c r="X32" s="440"/>
    </row>
    <row r="33" spans="1:24" ht="12.75" customHeight="1" hidden="1">
      <c r="A33" s="440"/>
      <c r="B33" s="519" t="s">
        <v>49</v>
      </c>
      <c r="C33" s="889">
        <v>710.88</v>
      </c>
      <c r="D33" s="889"/>
      <c r="E33" s="786">
        <v>458.84</v>
      </c>
      <c r="F33" s="786">
        <v>556.32</v>
      </c>
      <c r="G33" s="440"/>
      <c r="H33" s="521">
        <f>HLOOKUP(region,$C$32:$F$36,2,FALSE)*sensIlumin</f>
        <v>458.84</v>
      </c>
      <c r="I33" s="440"/>
      <c r="J33" s="521">
        <f>Entrada!J109*sensIlumin</f>
        <v>0</v>
      </c>
      <c r="K33" s="440"/>
      <c r="L33" s="521">
        <f>IF(Entrada!$K$106="NRECA",H33,J33)</f>
        <v>458.84</v>
      </c>
      <c r="M33" s="440"/>
      <c r="N33" s="440"/>
      <c r="O33" s="440"/>
      <c r="P33" s="440"/>
      <c r="Q33" s="440"/>
      <c r="R33" s="440"/>
      <c r="S33" s="440"/>
      <c r="T33" s="440"/>
      <c r="U33" s="440"/>
      <c r="V33" s="440"/>
      <c r="W33" s="440"/>
      <c r="X33" s="440"/>
    </row>
    <row r="34" spans="1:24" ht="15" hidden="1">
      <c r="A34" s="440"/>
      <c r="B34" s="519" t="s">
        <v>224</v>
      </c>
      <c r="C34" s="889">
        <v>271.43</v>
      </c>
      <c r="D34" s="889"/>
      <c r="E34" s="786">
        <v>260.12</v>
      </c>
      <c r="F34" s="786">
        <v>401.22</v>
      </c>
      <c r="G34" s="440"/>
      <c r="H34" s="521">
        <f>HLOOKUP(region,$C$32:$F$36,3,FALSE)*sensRTV</f>
        <v>260.12</v>
      </c>
      <c r="I34" s="440"/>
      <c r="J34" s="521">
        <f>Entrada!J110*sensRTV</f>
        <v>0</v>
      </c>
      <c r="K34" s="440"/>
      <c r="L34" s="521">
        <f>IF(Entrada!$K$106="NRECA",H34,J34)</f>
        <v>260.12</v>
      </c>
      <c r="M34" s="440"/>
      <c r="N34" s="440"/>
      <c r="O34" s="440"/>
      <c r="P34" s="440"/>
      <c r="Q34" s="440"/>
      <c r="R34" s="440"/>
      <c r="S34" s="440"/>
      <c r="T34" s="440"/>
      <c r="U34" s="440"/>
      <c r="V34" s="440"/>
      <c r="W34" s="440"/>
      <c r="X34" s="440"/>
    </row>
    <row r="35" spans="1:24" ht="15" hidden="1">
      <c r="A35" s="440"/>
      <c r="B35" s="519" t="s">
        <v>52</v>
      </c>
      <c r="C35" s="890"/>
      <c r="D35" s="890"/>
      <c r="E35" s="786">
        <v>623.1</v>
      </c>
      <c r="F35" s="786">
        <v>1037.24</v>
      </c>
      <c r="G35" s="440"/>
      <c r="H35" s="521">
        <f>HLOOKUP(region,$C$32:$F$36,4,FALSE)</f>
        <v>623.1</v>
      </c>
      <c r="I35" s="440"/>
      <c r="J35" s="521">
        <f>Entrada!J111</f>
        <v>0</v>
      </c>
      <c r="K35" s="440"/>
      <c r="L35" s="521">
        <f>IF(Entrada!$K$106="NRECA",H35,J35)</f>
        <v>623.1</v>
      </c>
      <c r="M35" s="440"/>
      <c r="N35" s="440"/>
      <c r="O35" s="440"/>
      <c r="P35" s="440"/>
      <c r="Q35" s="440"/>
      <c r="R35" s="440"/>
      <c r="S35" s="440"/>
      <c r="T35" s="440"/>
      <c r="U35" s="440"/>
      <c r="V35" s="440"/>
      <c r="W35" s="440"/>
      <c r="X35" s="440"/>
    </row>
    <row r="36" spans="1:24" ht="15" hidden="1">
      <c r="A36" s="440"/>
      <c r="B36" s="519" t="s">
        <v>53</v>
      </c>
      <c r="C36" s="891">
        <f>0.15109*Entrada!D91</f>
        <v>0.423052</v>
      </c>
      <c r="D36" s="891"/>
      <c r="E36" s="787">
        <f>0.15109*Entrada!D91</f>
        <v>0.423052</v>
      </c>
      <c r="F36" s="787">
        <f>0.15109*Entrada!D91</f>
        <v>0.423052</v>
      </c>
      <c r="G36" s="440"/>
      <c r="H36" s="521">
        <f>HLOOKUP(region,$C$32:$F$36,5,FALSE)</f>
        <v>0.423052</v>
      </c>
      <c r="I36" s="440"/>
      <c r="J36" s="521">
        <f>Entrada!J112</f>
        <v>0</v>
      </c>
      <c r="K36" s="440"/>
      <c r="L36" s="521">
        <f>IF(Entrada!$K$106="NRECA",H36,J36)</f>
        <v>0.423052</v>
      </c>
      <c r="M36" s="440"/>
      <c r="N36" s="440"/>
      <c r="O36" s="440"/>
      <c r="P36" s="440"/>
      <c r="Q36" s="440"/>
      <c r="R36" s="440"/>
      <c r="S36" s="440"/>
      <c r="T36" s="440"/>
      <c r="U36" s="440"/>
      <c r="V36" s="440"/>
      <c r="W36" s="440"/>
      <c r="X36" s="440"/>
    </row>
    <row r="37" spans="1:24" ht="15" hidden="1">
      <c r="A37" s="440"/>
      <c r="B37" s="440"/>
      <c r="C37" s="440"/>
      <c r="D37" s="440"/>
      <c r="E37" s="440"/>
      <c r="F37" s="440"/>
      <c r="G37" s="440"/>
      <c r="I37" s="440"/>
      <c r="J37" s="440"/>
      <c r="K37" s="440"/>
      <c r="L37" s="440"/>
      <c r="M37" s="440"/>
      <c r="N37" s="440"/>
      <c r="O37" s="440"/>
      <c r="P37" s="440"/>
      <c r="Q37" s="440"/>
      <c r="R37" s="440"/>
      <c r="S37" s="440"/>
      <c r="T37" s="440"/>
      <c r="U37" s="440"/>
      <c r="V37" s="440"/>
      <c r="W37" s="440"/>
      <c r="X37" s="440"/>
    </row>
    <row r="38" spans="2:12" ht="15" hidden="1">
      <c r="B38" s="585" t="s">
        <v>52</v>
      </c>
      <c r="C38" s="586"/>
      <c r="D38" s="587"/>
      <c r="L38" s="797">
        <f>+Entrada!J108</f>
        <v>0.1</v>
      </c>
    </row>
    <row r="39" ht="15" hidden="1">
      <c r="J39" s="440"/>
    </row>
    <row r="40" ht="15" hidden="1"/>
  </sheetData>
  <sheetProtection password="FFA0" sheet="1"/>
  <mergeCells count="10">
    <mergeCell ref="C33:D33"/>
    <mergeCell ref="C34:D34"/>
    <mergeCell ref="C35:D35"/>
    <mergeCell ref="C36:D36"/>
    <mergeCell ref="A2:W2"/>
    <mergeCell ref="A3:W3"/>
    <mergeCell ref="A4:W4"/>
    <mergeCell ref="A6:B8"/>
    <mergeCell ref="C6:W6"/>
    <mergeCell ref="C32:D32"/>
  </mergeCells>
  <printOptions horizontalCentered="1" verticalCentered="1"/>
  <pageMargins left="0.31496062992125984" right="0.2362204724409449" top="1.3779527559055118" bottom="0.7480314960629921" header="0.31496062992125984" footer="0.31496062992125984"/>
  <pageSetup fitToHeight="1" fitToWidth="1" horizontalDpi="600" verticalDpi="600" orientation="landscape" paperSize="9" scale="64" r:id="rId2"/>
  <drawing r:id="rId1"/>
</worksheet>
</file>

<file path=xl/worksheets/sheet18.xml><?xml version="1.0" encoding="utf-8"?>
<worksheet xmlns="http://schemas.openxmlformats.org/spreadsheetml/2006/main" xmlns:r="http://schemas.openxmlformats.org/officeDocument/2006/relationships">
  <sheetPr codeName="Hoja16">
    <pageSetUpPr fitToPage="1"/>
  </sheetPr>
  <dimension ref="A1:X31"/>
  <sheetViews>
    <sheetView showGridLines="0" showZeros="0" zoomScale="86" zoomScaleNormal="86" zoomScalePageLayoutView="0" workbookViewId="0" topLeftCell="A1">
      <pane ySplit="4" topLeftCell="A5" activePane="bottomLeft" state="frozen"/>
      <selection pane="topLeft" activeCell="K132" sqref="K132"/>
      <selection pane="bottomLeft" activeCell="R26" sqref="R26"/>
    </sheetView>
  </sheetViews>
  <sheetFormatPr defaultColWidth="11.421875" defaultRowHeight="15"/>
  <cols>
    <col min="1" max="1" width="3.8515625" style="234" customWidth="1"/>
    <col min="2" max="2" width="32.140625" style="234" customWidth="1"/>
    <col min="3" max="3" width="12.00390625" style="234" customWidth="1"/>
    <col min="4" max="4" width="13.421875" style="234" customWidth="1"/>
    <col min="5" max="5" width="9.140625" style="234" customWidth="1"/>
    <col min="6" max="10" width="9.140625" style="234" bestFit="1" customWidth="1"/>
    <col min="11" max="11" width="10.140625" style="234" customWidth="1"/>
    <col min="12" max="23" width="9.140625" style="234" bestFit="1" customWidth="1"/>
    <col min="24" max="16384" width="11.421875" style="234" customWidth="1"/>
  </cols>
  <sheetData>
    <row r="1" spans="1:24" ht="27.75" customHeight="1" thickBot="1">
      <c r="A1" s="440"/>
      <c r="B1" s="440"/>
      <c r="C1" s="440"/>
      <c r="D1" s="440"/>
      <c r="E1" s="440"/>
      <c r="F1" s="440"/>
      <c r="G1" s="440"/>
      <c r="H1" s="440"/>
      <c r="I1" s="440"/>
      <c r="J1" s="440"/>
      <c r="K1" s="440"/>
      <c r="L1" s="440"/>
      <c r="M1" s="440"/>
      <c r="N1" s="440"/>
      <c r="O1" s="440"/>
      <c r="P1" s="440"/>
      <c r="Q1" s="440"/>
      <c r="R1" s="440"/>
      <c r="S1" s="440"/>
      <c r="T1" s="440"/>
      <c r="U1" s="440"/>
      <c r="V1" s="440"/>
      <c r="W1" s="440"/>
      <c r="X1" s="440"/>
    </row>
    <row r="2" spans="1:24" ht="15.75">
      <c r="A2" s="876" t="s">
        <v>158</v>
      </c>
      <c r="B2" s="877"/>
      <c r="C2" s="877"/>
      <c r="D2" s="877"/>
      <c r="E2" s="877"/>
      <c r="F2" s="877"/>
      <c r="G2" s="877"/>
      <c r="H2" s="877"/>
      <c r="I2" s="877"/>
      <c r="J2" s="877"/>
      <c r="K2" s="877"/>
      <c r="L2" s="877"/>
      <c r="M2" s="877"/>
      <c r="N2" s="877"/>
      <c r="O2" s="877"/>
      <c r="P2" s="877"/>
      <c r="Q2" s="877"/>
      <c r="R2" s="877"/>
      <c r="S2" s="877"/>
      <c r="T2" s="877"/>
      <c r="U2" s="877"/>
      <c r="V2" s="877"/>
      <c r="W2" s="878"/>
      <c r="X2" s="440"/>
    </row>
    <row r="3" spans="1:24" ht="15.75">
      <c r="A3" s="879" t="s">
        <v>223</v>
      </c>
      <c r="B3" s="880"/>
      <c r="C3" s="880"/>
      <c r="D3" s="880"/>
      <c r="E3" s="880"/>
      <c r="F3" s="880"/>
      <c r="G3" s="880"/>
      <c r="H3" s="880"/>
      <c r="I3" s="880"/>
      <c r="J3" s="880"/>
      <c r="K3" s="880"/>
      <c r="L3" s="880"/>
      <c r="M3" s="880"/>
      <c r="N3" s="880"/>
      <c r="O3" s="880"/>
      <c r="P3" s="880"/>
      <c r="Q3" s="880"/>
      <c r="R3" s="880"/>
      <c r="S3" s="880"/>
      <c r="T3" s="880"/>
      <c r="U3" s="880"/>
      <c r="V3" s="880"/>
      <c r="W3" s="881"/>
      <c r="X3" s="440"/>
    </row>
    <row r="4" spans="1:24" ht="15.75">
      <c r="A4" s="882" t="s">
        <v>352</v>
      </c>
      <c r="B4" s="883"/>
      <c r="C4" s="883"/>
      <c r="D4" s="883"/>
      <c r="E4" s="883"/>
      <c r="F4" s="883"/>
      <c r="G4" s="883"/>
      <c r="H4" s="883"/>
      <c r="I4" s="883"/>
      <c r="J4" s="883"/>
      <c r="K4" s="883"/>
      <c r="L4" s="883"/>
      <c r="M4" s="883"/>
      <c r="N4" s="883"/>
      <c r="O4" s="883"/>
      <c r="P4" s="883"/>
      <c r="Q4" s="883"/>
      <c r="R4" s="883"/>
      <c r="S4" s="883"/>
      <c r="T4" s="883"/>
      <c r="U4" s="883"/>
      <c r="V4" s="883"/>
      <c r="W4" s="884"/>
      <c r="X4" s="440"/>
    </row>
    <row r="5" spans="1:24" ht="15">
      <c r="A5" s="441"/>
      <c r="B5" s="442"/>
      <c r="C5" s="442"/>
      <c r="D5" s="442"/>
      <c r="E5" s="442"/>
      <c r="F5" s="442"/>
      <c r="G5" s="442"/>
      <c r="H5" s="442"/>
      <c r="I5" s="442"/>
      <c r="J5" s="442"/>
      <c r="K5" s="442"/>
      <c r="L5" s="442"/>
      <c r="M5" s="442"/>
      <c r="N5" s="442"/>
      <c r="O5" s="442"/>
      <c r="P5" s="442"/>
      <c r="Q5" s="442"/>
      <c r="R5" s="442"/>
      <c r="S5" s="442"/>
      <c r="T5" s="442"/>
      <c r="U5" s="442"/>
      <c r="V5" s="442"/>
      <c r="W5" s="443"/>
      <c r="X5" s="440"/>
    </row>
    <row r="6" spans="1:24" ht="15.75">
      <c r="A6" s="471" t="s">
        <v>362</v>
      </c>
      <c r="B6" s="48"/>
      <c r="C6" s="48"/>
      <c r="D6" s="48"/>
      <c r="E6" s="48"/>
      <c r="F6" s="48"/>
      <c r="G6" s="48"/>
      <c r="H6" s="48"/>
      <c r="I6" s="48"/>
      <c r="J6" s="48"/>
      <c r="K6" s="48"/>
      <c r="L6" s="48"/>
      <c r="M6" s="48"/>
      <c r="N6" s="48"/>
      <c r="O6" s="48"/>
      <c r="P6" s="48"/>
      <c r="Q6" s="48"/>
      <c r="R6" s="48"/>
      <c r="S6" s="48"/>
      <c r="T6" s="48"/>
      <c r="U6" s="48"/>
      <c r="V6" s="48"/>
      <c r="W6" s="186"/>
      <c r="X6" s="440"/>
    </row>
    <row r="7" spans="1:24" ht="12.75" customHeight="1">
      <c r="A7" s="867" t="s">
        <v>4</v>
      </c>
      <c r="B7" s="868"/>
      <c r="C7" s="873" t="s">
        <v>92</v>
      </c>
      <c r="D7" s="874"/>
      <c r="E7" s="874"/>
      <c r="F7" s="874"/>
      <c r="G7" s="874"/>
      <c r="H7" s="874"/>
      <c r="I7" s="874"/>
      <c r="J7" s="874"/>
      <c r="K7" s="874"/>
      <c r="L7" s="874"/>
      <c r="M7" s="874"/>
      <c r="N7" s="874"/>
      <c r="O7" s="874"/>
      <c r="P7" s="874"/>
      <c r="Q7" s="874"/>
      <c r="R7" s="874"/>
      <c r="S7" s="874"/>
      <c r="T7" s="874"/>
      <c r="U7" s="874"/>
      <c r="V7" s="874"/>
      <c r="W7" s="875"/>
      <c r="X7" s="440"/>
    </row>
    <row r="8" spans="1:24" ht="15">
      <c r="A8" s="869"/>
      <c r="B8" s="870"/>
      <c r="C8" s="8">
        <v>0</v>
      </c>
      <c r="D8" s="8">
        <v>1</v>
      </c>
      <c r="E8" s="8">
        <v>2</v>
      </c>
      <c r="F8" s="8">
        <v>3</v>
      </c>
      <c r="G8" s="8">
        <v>4</v>
      </c>
      <c r="H8" s="8">
        <v>5</v>
      </c>
      <c r="I8" s="8">
        <v>6</v>
      </c>
      <c r="J8" s="8">
        <v>7</v>
      </c>
      <c r="K8" s="8">
        <v>8</v>
      </c>
      <c r="L8" s="8">
        <v>9</v>
      </c>
      <c r="M8" s="8">
        <v>10</v>
      </c>
      <c r="N8" s="8">
        <v>11</v>
      </c>
      <c r="O8" s="8">
        <v>12</v>
      </c>
      <c r="P8" s="8">
        <v>13</v>
      </c>
      <c r="Q8" s="8">
        <v>14</v>
      </c>
      <c r="R8" s="8">
        <v>15</v>
      </c>
      <c r="S8" s="8">
        <v>16</v>
      </c>
      <c r="T8" s="8">
        <v>17</v>
      </c>
      <c r="U8" s="8">
        <v>18</v>
      </c>
      <c r="V8" s="8">
        <v>19</v>
      </c>
      <c r="W8" s="114">
        <v>20</v>
      </c>
      <c r="X8" s="440"/>
    </row>
    <row r="9" spans="1:24" ht="15">
      <c r="A9" s="871"/>
      <c r="B9" s="872"/>
      <c r="C9" s="8">
        <f>'F2'!C8</f>
        <v>2011</v>
      </c>
      <c r="D9" s="8">
        <f>+C9+1</f>
        <v>2012</v>
      </c>
      <c r="E9" s="8">
        <f aca="true" t="shared" si="0" ref="E9:W9">+D9+1</f>
        <v>2013</v>
      </c>
      <c r="F9" s="8">
        <f t="shared" si="0"/>
        <v>2014</v>
      </c>
      <c r="G9" s="8">
        <f t="shared" si="0"/>
        <v>2015</v>
      </c>
      <c r="H9" s="8">
        <f t="shared" si="0"/>
        <v>2016</v>
      </c>
      <c r="I9" s="8">
        <f t="shared" si="0"/>
        <v>2017</v>
      </c>
      <c r="J9" s="8">
        <f t="shared" si="0"/>
        <v>2018</v>
      </c>
      <c r="K9" s="8">
        <f t="shared" si="0"/>
        <v>2019</v>
      </c>
      <c r="L9" s="8">
        <f t="shared" si="0"/>
        <v>2020</v>
      </c>
      <c r="M9" s="8">
        <f t="shared" si="0"/>
        <v>2021</v>
      </c>
      <c r="N9" s="8">
        <f t="shared" si="0"/>
        <v>2022</v>
      </c>
      <c r="O9" s="8">
        <f t="shared" si="0"/>
        <v>2023</v>
      </c>
      <c r="P9" s="8">
        <f t="shared" si="0"/>
        <v>2024</v>
      </c>
      <c r="Q9" s="8">
        <f t="shared" si="0"/>
        <v>2025</v>
      </c>
      <c r="R9" s="8">
        <f t="shared" si="0"/>
        <v>2026</v>
      </c>
      <c r="S9" s="8">
        <f t="shared" si="0"/>
        <v>2027</v>
      </c>
      <c r="T9" s="8">
        <f t="shared" si="0"/>
        <v>2028</v>
      </c>
      <c r="U9" s="8">
        <f t="shared" si="0"/>
        <v>2029</v>
      </c>
      <c r="V9" s="8">
        <f t="shared" si="0"/>
        <v>2030</v>
      </c>
      <c r="W9" s="114">
        <f t="shared" si="0"/>
        <v>2031</v>
      </c>
      <c r="X9" s="472"/>
    </row>
    <row r="10" spans="1:24" ht="15">
      <c r="A10" s="473"/>
      <c r="B10" s="474"/>
      <c r="C10" s="474"/>
      <c r="D10" s="474"/>
      <c r="E10" s="474"/>
      <c r="F10" s="474"/>
      <c r="G10" s="474"/>
      <c r="H10" s="474"/>
      <c r="I10" s="474"/>
      <c r="J10" s="474"/>
      <c r="K10" s="474"/>
      <c r="L10" s="474"/>
      <c r="M10" s="474"/>
      <c r="N10" s="474"/>
      <c r="O10" s="474"/>
      <c r="P10" s="474"/>
      <c r="Q10" s="474"/>
      <c r="R10" s="474"/>
      <c r="S10" s="474"/>
      <c r="T10" s="474"/>
      <c r="U10" s="474"/>
      <c r="V10" s="474"/>
      <c r="W10" s="475"/>
      <c r="X10" s="440"/>
    </row>
    <row r="11" spans="1:24" ht="15">
      <c r="A11" s="476">
        <v>1</v>
      </c>
      <c r="B11" s="449" t="s">
        <v>12</v>
      </c>
      <c r="C11" s="477">
        <f>'F6-SC'!C26</f>
        <v>0</v>
      </c>
      <c r="D11" s="477">
        <f>'F6-SC'!D26</f>
        <v>100089.56403683999</v>
      </c>
      <c r="E11" s="477">
        <f>'F6-SC'!E26</f>
        <v>101966.79128186339</v>
      </c>
      <c r="F11" s="477">
        <f>'F6-SC'!F26</f>
        <v>103675.54460584505</v>
      </c>
      <c r="G11" s="477">
        <f>'F6-SC'!G26</f>
        <v>105592.45018222558</v>
      </c>
      <c r="H11" s="477">
        <f>'F6-SC'!H26</f>
        <v>107429.97764907689</v>
      </c>
      <c r="I11" s="477">
        <f>'F6-SC'!I26</f>
        <v>109386.20304154034</v>
      </c>
      <c r="J11" s="477">
        <f>'F6-SC'!J26</f>
        <v>111363.545446731</v>
      </c>
      <c r="K11" s="477">
        <f>'F6-SC'!K26</f>
        <v>113362.21858267847</v>
      </c>
      <c r="L11" s="477">
        <f>'F6-SC'!L26</f>
        <v>115382.4381623699</v>
      </c>
      <c r="M11" s="477">
        <f>'F6-SC'!M26</f>
        <v>117424.42191148749</v>
      </c>
      <c r="N11" s="477">
        <f>'F6-SC'!N26</f>
        <v>119488.38958629832</v>
      </c>
      <c r="O11" s="477">
        <f>'F6-SC'!O26</f>
        <v>121574.56299169849</v>
      </c>
      <c r="P11" s="477">
        <f>'F6-SC'!P26</f>
        <v>123683.16599941209</v>
      </c>
      <c r="Q11" s="477">
        <f>'F6-SC'!Q26</f>
        <v>126087.14480698702</v>
      </c>
      <c r="R11" s="477">
        <f>'F6-SC'!R26</f>
        <v>128241.28699374862</v>
      </c>
      <c r="S11" s="477">
        <f>'F6-SC'!S26</f>
        <v>130613.48789943043</v>
      </c>
      <c r="T11" s="477">
        <f>'F6-SC'!T26</f>
        <v>132815.3435903423</v>
      </c>
      <c r="U11" s="477">
        <f>'F6-SC'!U26</f>
        <v>135247.5788676513</v>
      </c>
      <c r="V11" s="477">
        <f>'F6-SC'!V26</f>
        <v>137696.85591666074</v>
      </c>
      <c r="W11" s="478">
        <f>'F6-SC'!W26</f>
        <v>140172.77013063445</v>
      </c>
      <c r="X11" s="440"/>
    </row>
    <row r="12" spans="1:24" ht="15">
      <c r="A12" s="476">
        <v>2</v>
      </c>
      <c r="B12" s="449" t="s">
        <v>15</v>
      </c>
      <c r="C12" s="477">
        <f>'F5-SC'!C56</f>
        <v>2905094.0703232</v>
      </c>
      <c r="D12" s="477">
        <f>'F5-SC'!D56</f>
        <v>106516.5294423907</v>
      </c>
      <c r="E12" s="477">
        <f>'F5-SC'!E56</f>
        <v>107600.07863406723</v>
      </c>
      <c r="F12" s="477">
        <f>'F5-SC'!F56</f>
        <v>108535.48511209892</v>
      </c>
      <c r="G12" s="477">
        <f>'F5-SC'!G56</f>
        <v>109640.96804024794</v>
      </c>
      <c r="H12" s="477">
        <f>'F5-SC'!H56</f>
        <v>110715.40872211009</v>
      </c>
      <c r="I12" s="477">
        <f>'F5-SC'!I56</f>
        <v>111842.62720350976</v>
      </c>
      <c r="J12" s="477">
        <f>'F5-SC'!J56</f>
        <v>112981.51893265962</v>
      </c>
      <c r="K12" s="477">
        <f>'F5-SC'!K56</f>
        <v>114132.20205048894</v>
      </c>
      <c r="L12" s="477">
        <f>'F5-SC'!L56</f>
        <v>115294.79580071724</v>
      </c>
      <c r="M12" s="477">
        <f>'F5-SC'!M56</f>
        <v>116469.42053965924</v>
      </c>
      <c r="N12" s="477">
        <f>'F5-SC'!N56</f>
        <v>117656.19774611424</v>
      </c>
      <c r="O12" s="477">
        <f>'F5-SC'!O56</f>
        <v>118855.25003134058</v>
      </c>
      <c r="P12" s="477">
        <f>'F5-SC'!P56</f>
        <v>120066.70114911607</v>
      </c>
      <c r="Q12" s="477">
        <f>'F5-SC'!Q56</f>
        <v>121496.44491559391</v>
      </c>
      <c r="R12" s="477">
        <f>'F5-SC'!R56</f>
        <v>122733.06958069987</v>
      </c>
      <c r="S12" s="477">
        <f>'F5-SC'!S56</f>
        <v>124077.39757727917</v>
      </c>
      <c r="T12" s="477">
        <f>'F5-SC'!T56</f>
        <v>125340.39773224108</v>
      </c>
      <c r="U12" s="477">
        <f>'F5-SC'!U56</f>
        <v>126785.76135821381</v>
      </c>
      <c r="V12" s="477">
        <f>'F5-SC'!V56</f>
        <v>128172.69618220351</v>
      </c>
      <c r="W12" s="478">
        <f>'F5-SC'!W56</f>
        <v>-587857.052615557</v>
      </c>
      <c r="X12" s="440"/>
    </row>
    <row r="13" spans="1:24" ht="15">
      <c r="A13" s="479"/>
      <c r="B13" s="465" t="s">
        <v>16</v>
      </c>
      <c r="C13" s="480">
        <f aca="true" t="shared" si="1" ref="C13:W13">+C11-C12</f>
        <v>-2905094.0703232</v>
      </c>
      <c r="D13" s="480">
        <f t="shared" si="1"/>
        <v>-6426.965405550713</v>
      </c>
      <c r="E13" s="480">
        <f t="shared" si="1"/>
        <v>-5633.287352203843</v>
      </c>
      <c r="F13" s="480">
        <f t="shared" si="1"/>
        <v>-4859.940506253872</v>
      </c>
      <c r="G13" s="480">
        <f t="shared" si="1"/>
        <v>-4048.5178580223583</v>
      </c>
      <c r="H13" s="480">
        <f t="shared" si="1"/>
        <v>-3285.431073033207</v>
      </c>
      <c r="I13" s="480">
        <f t="shared" si="1"/>
        <v>-2456.424161969422</v>
      </c>
      <c r="J13" s="480">
        <f t="shared" si="1"/>
        <v>-1617.973485928611</v>
      </c>
      <c r="K13" s="480">
        <f t="shared" si="1"/>
        <v>-769.9834678104671</v>
      </c>
      <c r="L13" s="480">
        <f t="shared" si="1"/>
        <v>87.64236165265902</v>
      </c>
      <c r="M13" s="480">
        <f t="shared" si="1"/>
        <v>955.0013718282426</v>
      </c>
      <c r="N13" s="480">
        <f t="shared" si="1"/>
        <v>1832.1918401840812</v>
      </c>
      <c r="O13" s="480">
        <f t="shared" si="1"/>
        <v>2719.3129603579146</v>
      </c>
      <c r="P13" s="480">
        <f t="shared" si="1"/>
        <v>3616.464850296019</v>
      </c>
      <c r="Q13" s="480">
        <f t="shared" si="1"/>
        <v>4590.699891393117</v>
      </c>
      <c r="R13" s="480">
        <f t="shared" si="1"/>
        <v>5508.217413048755</v>
      </c>
      <c r="S13" s="480">
        <f t="shared" si="1"/>
        <v>6536.090322151256</v>
      </c>
      <c r="T13" s="480">
        <f t="shared" si="1"/>
        <v>7474.945858101215</v>
      </c>
      <c r="U13" s="480">
        <f t="shared" si="1"/>
        <v>8461.817509437475</v>
      </c>
      <c r="V13" s="480">
        <f t="shared" si="1"/>
        <v>9524.159734457236</v>
      </c>
      <c r="W13" s="481">
        <f t="shared" si="1"/>
        <v>728029.8227461914</v>
      </c>
      <c r="X13" s="440"/>
    </row>
    <row r="14" spans="1:24" ht="15">
      <c r="A14" s="390"/>
      <c r="B14" s="24"/>
      <c r="C14" s="24"/>
      <c r="D14" s="24"/>
      <c r="E14" s="24"/>
      <c r="F14" s="24"/>
      <c r="G14" s="24"/>
      <c r="H14" s="24"/>
      <c r="I14" s="24"/>
      <c r="J14" s="24"/>
      <c r="K14" s="24"/>
      <c r="L14" s="24"/>
      <c r="M14" s="24"/>
      <c r="N14" s="24"/>
      <c r="O14" s="24"/>
      <c r="P14" s="24"/>
      <c r="Q14" s="24"/>
      <c r="R14" s="24"/>
      <c r="S14" s="24"/>
      <c r="T14" s="24"/>
      <c r="U14" s="24"/>
      <c r="V14" s="24"/>
      <c r="W14" s="392"/>
      <c r="X14" s="440"/>
    </row>
    <row r="15" spans="1:24" ht="15">
      <c r="A15" s="390"/>
      <c r="B15" s="24"/>
      <c r="C15" s="24"/>
      <c r="D15" s="24"/>
      <c r="E15" s="24"/>
      <c r="F15" s="24"/>
      <c r="G15" s="24"/>
      <c r="H15" s="24"/>
      <c r="I15" s="24"/>
      <c r="J15" s="24"/>
      <c r="K15" s="24"/>
      <c r="L15" s="24"/>
      <c r="M15" s="24"/>
      <c r="N15" s="24"/>
      <c r="O15" s="24"/>
      <c r="P15" s="24"/>
      <c r="Q15" s="24"/>
      <c r="R15" s="24"/>
      <c r="S15" s="24"/>
      <c r="T15" s="24"/>
      <c r="U15" s="24"/>
      <c r="V15" s="24"/>
      <c r="W15" s="392"/>
      <c r="X15" s="440"/>
    </row>
    <row r="16" spans="1:24" ht="15.75">
      <c r="A16" s="482" t="s">
        <v>361</v>
      </c>
      <c r="B16" s="24"/>
      <c r="C16" s="24"/>
      <c r="D16" s="24"/>
      <c r="E16" s="24"/>
      <c r="F16" s="24"/>
      <c r="G16" s="24"/>
      <c r="H16" s="24"/>
      <c r="I16" s="24"/>
      <c r="J16" s="24"/>
      <c r="K16" s="24"/>
      <c r="L16" s="24"/>
      <c r="M16" s="24"/>
      <c r="N16" s="24"/>
      <c r="O16" s="24"/>
      <c r="P16" s="24"/>
      <c r="Q16" s="24"/>
      <c r="R16" s="24"/>
      <c r="S16" s="24"/>
      <c r="T16" s="24"/>
      <c r="U16" s="24"/>
      <c r="V16" s="24"/>
      <c r="W16" s="392"/>
      <c r="X16" s="440"/>
    </row>
    <row r="17" spans="1:24" ht="12.75" customHeight="1">
      <c r="A17" s="867" t="s">
        <v>4</v>
      </c>
      <c r="B17" s="868"/>
      <c r="C17" s="873" t="s">
        <v>92</v>
      </c>
      <c r="D17" s="874"/>
      <c r="E17" s="874"/>
      <c r="F17" s="874"/>
      <c r="G17" s="874"/>
      <c r="H17" s="874"/>
      <c r="I17" s="874"/>
      <c r="J17" s="874"/>
      <c r="K17" s="874"/>
      <c r="L17" s="874"/>
      <c r="M17" s="874"/>
      <c r="N17" s="874"/>
      <c r="O17" s="874"/>
      <c r="P17" s="874"/>
      <c r="Q17" s="874"/>
      <c r="R17" s="874"/>
      <c r="S17" s="874"/>
      <c r="T17" s="874"/>
      <c r="U17" s="874"/>
      <c r="V17" s="874"/>
      <c r="W17" s="875"/>
      <c r="X17" s="440"/>
    </row>
    <row r="18" spans="1:24" ht="15">
      <c r="A18" s="869"/>
      <c r="B18" s="870"/>
      <c r="C18" s="8">
        <v>0</v>
      </c>
      <c r="D18" s="8">
        <v>1</v>
      </c>
      <c r="E18" s="8">
        <v>2</v>
      </c>
      <c r="F18" s="8">
        <v>3</v>
      </c>
      <c r="G18" s="8">
        <v>4</v>
      </c>
      <c r="H18" s="8">
        <v>5</v>
      </c>
      <c r="I18" s="8">
        <v>6</v>
      </c>
      <c r="J18" s="8">
        <v>7</v>
      </c>
      <c r="K18" s="8">
        <v>8</v>
      </c>
      <c r="L18" s="8">
        <v>9</v>
      </c>
      <c r="M18" s="8">
        <v>10</v>
      </c>
      <c r="N18" s="8">
        <v>11</v>
      </c>
      <c r="O18" s="8">
        <v>12</v>
      </c>
      <c r="P18" s="8">
        <v>13</v>
      </c>
      <c r="Q18" s="8">
        <v>14</v>
      </c>
      <c r="R18" s="8">
        <v>15</v>
      </c>
      <c r="S18" s="8">
        <v>16</v>
      </c>
      <c r="T18" s="8">
        <v>17</v>
      </c>
      <c r="U18" s="8">
        <v>18</v>
      </c>
      <c r="V18" s="8">
        <v>19</v>
      </c>
      <c r="W18" s="114">
        <v>20</v>
      </c>
      <c r="X18" s="440"/>
    </row>
    <row r="19" spans="1:24" ht="15">
      <c r="A19" s="871"/>
      <c r="B19" s="872"/>
      <c r="C19" s="8">
        <f>'F2'!C8</f>
        <v>2011</v>
      </c>
      <c r="D19" s="8">
        <f aca="true" t="shared" si="2" ref="D19:W19">+C19+1</f>
        <v>2012</v>
      </c>
      <c r="E19" s="8">
        <f t="shared" si="2"/>
        <v>2013</v>
      </c>
      <c r="F19" s="8">
        <f t="shared" si="2"/>
        <v>2014</v>
      </c>
      <c r="G19" s="8">
        <f t="shared" si="2"/>
        <v>2015</v>
      </c>
      <c r="H19" s="8">
        <f t="shared" si="2"/>
        <v>2016</v>
      </c>
      <c r="I19" s="8">
        <f t="shared" si="2"/>
        <v>2017</v>
      </c>
      <c r="J19" s="8">
        <f t="shared" si="2"/>
        <v>2018</v>
      </c>
      <c r="K19" s="8">
        <f t="shared" si="2"/>
        <v>2019</v>
      </c>
      <c r="L19" s="8">
        <f t="shared" si="2"/>
        <v>2020</v>
      </c>
      <c r="M19" s="8">
        <f t="shared" si="2"/>
        <v>2021</v>
      </c>
      <c r="N19" s="8">
        <f t="shared" si="2"/>
        <v>2022</v>
      </c>
      <c r="O19" s="8">
        <f t="shared" si="2"/>
        <v>2023</v>
      </c>
      <c r="P19" s="8">
        <f t="shared" si="2"/>
        <v>2024</v>
      </c>
      <c r="Q19" s="8">
        <f t="shared" si="2"/>
        <v>2025</v>
      </c>
      <c r="R19" s="8">
        <f t="shared" si="2"/>
        <v>2026</v>
      </c>
      <c r="S19" s="8">
        <f t="shared" si="2"/>
        <v>2027</v>
      </c>
      <c r="T19" s="8">
        <f t="shared" si="2"/>
        <v>2028</v>
      </c>
      <c r="U19" s="8">
        <f t="shared" si="2"/>
        <v>2029</v>
      </c>
      <c r="V19" s="8">
        <f t="shared" si="2"/>
        <v>2030</v>
      </c>
      <c r="W19" s="114">
        <f t="shared" si="2"/>
        <v>2031</v>
      </c>
      <c r="X19" s="472"/>
    </row>
    <row r="20" spans="1:24" ht="15">
      <c r="A20" s="473"/>
      <c r="B20" s="474"/>
      <c r="C20" s="474"/>
      <c r="D20" s="474"/>
      <c r="E20" s="474"/>
      <c r="F20" s="474"/>
      <c r="G20" s="474"/>
      <c r="H20" s="474"/>
      <c r="I20" s="474"/>
      <c r="J20" s="474"/>
      <c r="K20" s="474"/>
      <c r="L20" s="474"/>
      <c r="M20" s="474"/>
      <c r="N20" s="474"/>
      <c r="O20" s="474"/>
      <c r="P20" s="474"/>
      <c r="Q20" s="474"/>
      <c r="R20" s="474"/>
      <c r="S20" s="474"/>
      <c r="T20" s="474"/>
      <c r="U20" s="474"/>
      <c r="V20" s="474"/>
      <c r="W20" s="475"/>
      <c r="X20" s="440"/>
    </row>
    <row r="21" spans="1:24" ht="15">
      <c r="A21" s="476">
        <v>1</v>
      </c>
      <c r="B21" s="449" t="s">
        <v>12</v>
      </c>
      <c r="C21" s="477">
        <f>'F6-SF'!C25</f>
        <v>0</v>
      </c>
      <c r="D21" s="477">
        <f>'F6-SF'!D25</f>
        <v>669050.20725552</v>
      </c>
      <c r="E21" s="477">
        <f>'F6-SF'!E25</f>
        <v>677465.6020077601</v>
      </c>
      <c r="F21" s="477">
        <f>'F6-SF'!F25</f>
        <v>684678.7975096799</v>
      </c>
      <c r="G21" s="477">
        <f>'F6-SF'!G25</f>
        <v>693094.19226192</v>
      </c>
      <c r="H21" s="477">
        <f>'F6-SF'!H25</f>
        <v>700911.41232816</v>
      </c>
      <c r="I21" s="477">
        <f>'F6-SF'!I25</f>
        <v>709326.8070804001</v>
      </c>
      <c r="J21" s="477">
        <f>'F6-SF'!J25</f>
        <v>717742.20183264</v>
      </c>
      <c r="K21" s="477">
        <f>'F6-SF'!K25</f>
        <v>726157.5965848801</v>
      </c>
      <c r="L21" s="477">
        <f>'F6-SF'!L25</f>
        <v>734572.99133712</v>
      </c>
      <c r="M21" s="477">
        <f>'F6-SF'!M25</f>
        <v>742988.38608936</v>
      </c>
      <c r="N21" s="477">
        <f>'F6-SF'!N25</f>
        <v>751403.7808415999</v>
      </c>
      <c r="O21" s="477">
        <f>'F6-SF'!O25</f>
        <v>759819.1755938401</v>
      </c>
      <c r="P21" s="477">
        <f>'F6-SF'!P25</f>
        <v>768234.5703460799</v>
      </c>
      <c r="Q21" s="477">
        <f>'F6-SF'!Q25</f>
        <v>778456.18891296</v>
      </c>
      <c r="R21" s="477">
        <f>'F6-SF'!R25</f>
        <v>786871.5836652003</v>
      </c>
      <c r="S21" s="477">
        <f>'F6-SF'!S25</f>
        <v>796489.17766776</v>
      </c>
      <c r="T21" s="477">
        <f>'F6-SF'!T25</f>
        <v>804904.5724200001</v>
      </c>
      <c r="U21" s="477">
        <f>'F6-SF'!U25</f>
        <v>814522.1664225601</v>
      </c>
      <c r="V21" s="477">
        <f>'F6-SF'!V25</f>
        <v>824139.7604251201</v>
      </c>
      <c r="W21" s="478">
        <f>'F6-SF'!W25</f>
        <v>833757.3544276801</v>
      </c>
      <c r="X21" s="440"/>
    </row>
    <row r="22" spans="1:24" ht="15">
      <c r="A22" s="476">
        <v>2</v>
      </c>
      <c r="B22" s="449" t="s">
        <v>15</v>
      </c>
      <c r="C22" s="477">
        <f>'F5-SF'!D65</f>
        <v>5952050.537076</v>
      </c>
      <c r="D22" s="477">
        <f>'F5-SF'!E65</f>
        <v>194833.43235291966</v>
      </c>
      <c r="E22" s="477">
        <f>'F5-SF'!F65</f>
        <v>196972.9394933197</v>
      </c>
      <c r="F22" s="477">
        <f>'F5-SF'!G65</f>
        <v>198806.80275651964</v>
      </c>
      <c r="G22" s="477">
        <f>'F5-SF'!H65</f>
        <v>1703738.87794152</v>
      </c>
      <c r="H22" s="477">
        <f>'F5-SF'!I65</f>
        <v>202933.73872731964</v>
      </c>
      <c r="I22" s="477">
        <f>'F5-SF'!J65</f>
        <v>205073.2458677197</v>
      </c>
      <c r="J22" s="477">
        <f>'F5-SF'!K65</f>
        <v>207212.75300811965</v>
      </c>
      <c r="K22" s="477">
        <f>'F5-SF'!L65</f>
        <v>1703738.87794152</v>
      </c>
      <c r="L22" s="477">
        <f>'F5-SF'!M65</f>
        <v>211491.76728891963</v>
      </c>
      <c r="M22" s="477">
        <f>'F5-SF'!N65</f>
        <v>424970.4337513535</v>
      </c>
      <c r="N22" s="477">
        <f>'F5-SF'!O65</f>
        <v>215770.78156971963</v>
      </c>
      <c r="O22" s="477">
        <f>'F5-SF'!P65</f>
        <v>1703738.87794152</v>
      </c>
      <c r="P22" s="477">
        <f>'F5-SF'!Q65</f>
        <v>220049.79585051961</v>
      </c>
      <c r="Q22" s="477">
        <f>'F5-SF'!R65</f>
        <v>222648.51243531966</v>
      </c>
      <c r="R22" s="477">
        <f>'F5-SF'!S65</f>
        <v>224788.01957571972</v>
      </c>
      <c r="S22" s="477">
        <f>'F5-SF'!T65</f>
        <v>1703738.87794152</v>
      </c>
      <c r="T22" s="477">
        <f>'F5-SF'!U65</f>
        <v>229372.67773371967</v>
      </c>
      <c r="U22" s="477">
        <f>'F5-SF'!V65</f>
        <v>231817.8287513197</v>
      </c>
      <c r="V22" s="477">
        <f>'F5-SF'!W65</f>
        <v>234262.9797689197</v>
      </c>
      <c r="W22" s="478">
        <f>'F5-SF'!X65</f>
        <v>1987125.47794152</v>
      </c>
      <c r="X22" s="440"/>
    </row>
    <row r="23" spans="1:24" ht="15">
      <c r="A23" s="479"/>
      <c r="B23" s="465" t="s">
        <v>16</v>
      </c>
      <c r="C23" s="480">
        <f aca="true" t="shared" si="3" ref="C23:W23">+C21-C22</f>
        <v>-5952050.537076</v>
      </c>
      <c r="D23" s="480">
        <f t="shared" si="3"/>
        <v>474216.7749026004</v>
      </c>
      <c r="E23" s="480">
        <f t="shared" si="3"/>
        <v>480492.66251444037</v>
      </c>
      <c r="F23" s="480">
        <f t="shared" si="3"/>
        <v>485871.9947531603</v>
      </c>
      <c r="G23" s="480">
        <f t="shared" si="3"/>
        <v>-1010644.6856796</v>
      </c>
      <c r="H23" s="480">
        <f t="shared" si="3"/>
        <v>497977.6736008404</v>
      </c>
      <c r="I23" s="480">
        <f t="shared" si="3"/>
        <v>504253.56121268036</v>
      </c>
      <c r="J23" s="480">
        <f t="shared" si="3"/>
        <v>510529.44882452034</v>
      </c>
      <c r="K23" s="480">
        <f t="shared" si="3"/>
        <v>-977581.2813566398</v>
      </c>
      <c r="L23" s="480">
        <f t="shared" si="3"/>
        <v>523081.2240482003</v>
      </c>
      <c r="M23" s="480">
        <f t="shared" si="3"/>
        <v>318017.95233800646</v>
      </c>
      <c r="N23" s="480">
        <f t="shared" si="3"/>
        <v>535632.9992718803</v>
      </c>
      <c r="O23" s="480">
        <f t="shared" si="3"/>
        <v>-943919.7023476799</v>
      </c>
      <c r="P23" s="480">
        <f t="shared" si="3"/>
        <v>548184.7744955602</v>
      </c>
      <c r="Q23" s="480">
        <f t="shared" si="3"/>
        <v>555807.6764776404</v>
      </c>
      <c r="R23" s="480">
        <f t="shared" si="3"/>
        <v>562083.5640894806</v>
      </c>
      <c r="S23" s="480">
        <f t="shared" si="3"/>
        <v>-907249.7002737599</v>
      </c>
      <c r="T23" s="480">
        <f t="shared" si="3"/>
        <v>575531.8946862804</v>
      </c>
      <c r="U23" s="480">
        <f t="shared" si="3"/>
        <v>582704.3376712404</v>
      </c>
      <c r="V23" s="480">
        <f t="shared" si="3"/>
        <v>589876.7806562004</v>
      </c>
      <c r="W23" s="481">
        <f t="shared" si="3"/>
        <v>-1153368.12351384</v>
      </c>
      <c r="X23" s="440"/>
    </row>
    <row r="24" spans="1:24" ht="15">
      <c r="A24" s="390"/>
      <c r="B24" s="24"/>
      <c r="C24" s="24"/>
      <c r="D24" s="24"/>
      <c r="E24" s="24"/>
      <c r="F24" s="24"/>
      <c r="G24" s="24"/>
      <c r="H24" s="24"/>
      <c r="I24" s="24"/>
      <c r="J24" s="24"/>
      <c r="K24" s="24"/>
      <c r="L24" s="24"/>
      <c r="M24" s="24"/>
      <c r="N24" s="24"/>
      <c r="O24" s="24"/>
      <c r="P24" s="24"/>
      <c r="Q24" s="24"/>
      <c r="R24" s="24"/>
      <c r="S24" s="24"/>
      <c r="T24" s="24"/>
      <c r="U24" s="24"/>
      <c r="V24" s="24"/>
      <c r="W24" s="392"/>
      <c r="X24" s="440"/>
    </row>
    <row r="25" spans="1:24" ht="15.75" thickBot="1">
      <c r="A25" s="390"/>
      <c r="B25" s="24"/>
      <c r="C25" s="24"/>
      <c r="D25" s="24"/>
      <c r="E25" s="24"/>
      <c r="F25" s="24"/>
      <c r="G25" s="24"/>
      <c r="H25" s="24"/>
      <c r="I25" s="24"/>
      <c r="J25" s="24"/>
      <c r="K25" s="24"/>
      <c r="L25" s="24"/>
      <c r="M25" s="24"/>
      <c r="N25" s="24"/>
      <c r="O25" s="24"/>
      <c r="P25" s="24"/>
      <c r="Q25" s="24"/>
      <c r="R25" s="24"/>
      <c r="S25" s="24"/>
      <c r="T25" s="24"/>
      <c r="U25" s="24"/>
      <c r="V25" s="24"/>
      <c r="W25" s="392"/>
      <c r="X25" s="440"/>
    </row>
    <row r="26" spans="1:24" ht="15">
      <c r="A26" s="390"/>
      <c r="B26" s="483" t="s">
        <v>159</v>
      </c>
      <c r="C26" s="484" t="s">
        <v>37</v>
      </c>
      <c r="D26" s="485"/>
      <c r="E26" s="24"/>
      <c r="F26" s="24"/>
      <c r="G26" s="24"/>
      <c r="H26" s="24"/>
      <c r="I26" s="24"/>
      <c r="J26" s="24"/>
      <c r="K26" s="24"/>
      <c r="L26" s="24"/>
      <c r="M26" s="24"/>
      <c r="N26" s="24"/>
      <c r="O26" s="24"/>
      <c r="P26" s="24"/>
      <c r="Q26" s="24"/>
      <c r="R26" s="24"/>
      <c r="S26" s="24"/>
      <c r="T26" s="24"/>
      <c r="U26" s="24"/>
      <c r="V26" s="24"/>
      <c r="W26" s="392"/>
      <c r="X26" s="440"/>
    </row>
    <row r="27" spans="1:24" ht="30" customHeight="1">
      <c r="A27" s="390"/>
      <c r="B27" s="486" t="s">
        <v>160</v>
      </c>
      <c r="C27" s="487" t="str">
        <f>IF(C28="","","Sistema Convencional")</f>
        <v>Sistema Convencional</v>
      </c>
      <c r="D27" s="488" t="str">
        <f>IF(D28="","","Sistema Fotovoltaico")</f>
        <v>Sistema Fotovoltaico</v>
      </c>
      <c r="E27" s="24"/>
      <c r="F27" s="24"/>
      <c r="G27" s="24"/>
      <c r="H27" s="24"/>
      <c r="I27" s="24"/>
      <c r="J27" s="24"/>
      <c r="K27" s="24"/>
      <c r="L27" s="24"/>
      <c r="M27" s="24"/>
      <c r="N27" s="24"/>
      <c r="O27" s="24"/>
      <c r="P27" s="24"/>
      <c r="Q27" s="24"/>
      <c r="R27" s="24"/>
      <c r="S27" s="24"/>
      <c r="T27" s="24"/>
      <c r="U27" s="24"/>
      <c r="V27" s="24"/>
      <c r="W27" s="392"/>
      <c r="X27" s="440"/>
    </row>
    <row r="28" spans="1:24" ht="15">
      <c r="A28" s="390"/>
      <c r="B28" s="74" t="s">
        <v>161</v>
      </c>
      <c r="C28" s="72">
        <f>IF(Entrada!D16="Sistema Fotovoltaico","",12%)</f>
        <v>0.12</v>
      </c>
      <c r="D28" s="75">
        <f>IF(Entrada!D16="Sistema Convencional","",12%)</f>
        <v>0.12</v>
      </c>
      <c r="E28" s="24"/>
      <c r="F28" s="24"/>
      <c r="G28" s="24"/>
      <c r="H28" s="24"/>
      <c r="I28" s="24"/>
      <c r="J28" s="24"/>
      <c r="K28" s="24"/>
      <c r="L28" s="24"/>
      <c r="M28" s="24"/>
      <c r="N28" s="24"/>
      <c r="O28" s="24"/>
      <c r="P28" s="24"/>
      <c r="Q28" s="24"/>
      <c r="R28" s="24"/>
      <c r="S28" s="24"/>
      <c r="T28" s="24"/>
      <c r="U28" s="24"/>
      <c r="V28" s="24"/>
      <c r="W28" s="392"/>
      <c r="X28" s="440"/>
    </row>
    <row r="29" spans="1:24" ht="15">
      <c r="A29" s="390"/>
      <c r="B29" s="489" t="s">
        <v>162</v>
      </c>
      <c r="C29" s="73">
        <f>IF(Entrada!D16="Sistema Fotovoltaico","",NPV(C28,D13:W13)+C13)</f>
        <v>-2841335.176610671</v>
      </c>
      <c r="D29" s="76">
        <f>IF(Entrada!D16="Sistema Convencional","",NPV(D28,D23:W23)+C23)</f>
        <v>-4562599.898075928</v>
      </c>
      <c r="E29" s="24"/>
      <c r="F29" s="24"/>
      <c r="G29" s="24"/>
      <c r="H29" s="24"/>
      <c r="I29" s="24"/>
      <c r="J29" s="24"/>
      <c r="K29" s="24"/>
      <c r="L29" s="24"/>
      <c r="M29" s="24"/>
      <c r="N29" s="24"/>
      <c r="O29" s="24"/>
      <c r="P29" s="24"/>
      <c r="Q29" s="24"/>
      <c r="R29" s="24"/>
      <c r="S29" s="24"/>
      <c r="T29" s="24"/>
      <c r="U29" s="24"/>
      <c r="V29" s="24"/>
      <c r="W29" s="392"/>
      <c r="X29" s="440"/>
    </row>
    <row r="30" spans="1:24" ht="15.75" thickBot="1">
      <c r="A30" s="390"/>
      <c r="B30" s="490" t="s">
        <v>28</v>
      </c>
      <c r="C30" s="491">
        <f>IF(Entrada!D16="Sistema Fotovoltaico","",_xlfn.IFERROR(IRR(C13:W13),""))</f>
        <v>-0.06495556107429723</v>
      </c>
      <c r="D30" s="492">
        <f>IF(Entrada!D16="Sistema Convencional","",_xlfn.IFERROR(IRR(C23:W23),""))</f>
        <v>-0.09699752030292319</v>
      </c>
      <c r="E30" s="24"/>
      <c r="F30" s="493"/>
      <c r="G30" s="24"/>
      <c r="H30" s="24"/>
      <c r="I30" s="24"/>
      <c r="J30" s="24"/>
      <c r="K30" s="24"/>
      <c r="L30" s="24"/>
      <c r="M30" s="24"/>
      <c r="N30" s="24"/>
      <c r="O30" s="24"/>
      <c r="P30" s="24"/>
      <c r="Q30" s="24"/>
      <c r="R30" s="24"/>
      <c r="S30" s="24"/>
      <c r="T30" s="24"/>
      <c r="U30" s="24"/>
      <c r="V30" s="24"/>
      <c r="W30" s="392"/>
      <c r="X30" s="440"/>
    </row>
    <row r="31" spans="1:24" ht="15.75" thickBot="1">
      <c r="A31" s="436"/>
      <c r="B31" s="437"/>
      <c r="C31" s="437"/>
      <c r="D31" s="437"/>
      <c r="E31" s="437"/>
      <c r="F31" s="437"/>
      <c r="G31" s="437"/>
      <c r="H31" s="437"/>
      <c r="I31" s="437"/>
      <c r="J31" s="437"/>
      <c r="K31" s="437"/>
      <c r="L31" s="437"/>
      <c r="M31" s="437"/>
      <c r="N31" s="437"/>
      <c r="O31" s="437"/>
      <c r="P31" s="437"/>
      <c r="Q31" s="437"/>
      <c r="R31" s="437"/>
      <c r="S31" s="437"/>
      <c r="T31" s="437"/>
      <c r="U31" s="437"/>
      <c r="V31" s="437"/>
      <c r="W31" s="439"/>
      <c r="X31" s="440"/>
    </row>
  </sheetData>
  <sheetProtection formatCells="0" formatColumns="0" formatRows="0"/>
  <mergeCells count="7">
    <mergeCell ref="A3:W3"/>
    <mergeCell ref="A4:W4"/>
    <mergeCell ref="A2:W2"/>
    <mergeCell ref="A7:B9"/>
    <mergeCell ref="C7:W7"/>
    <mergeCell ref="A17:B19"/>
    <mergeCell ref="C17:W17"/>
  </mergeCells>
  <printOptions horizontalCentered="1" verticalCentered="1"/>
  <pageMargins left="0.2362204724409449" right="0.2362204724409449" top="1.3385826771653544" bottom="0.7480314960629921" header="0.31496062992125984" footer="0.31496062992125984"/>
  <pageSetup fitToHeight="1" fitToWidth="1" horizontalDpi="600" verticalDpi="600" orientation="landscape" paperSize="9" scale="60" r:id="rId2"/>
  <drawing r:id="rId1"/>
</worksheet>
</file>

<file path=xl/worksheets/sheet19.xml><?xml version="1.0" encoding="utf-8"?>
<worksheet xmlns="http://schemas.openxmlformats.org/spreadsheetml/2006/main" xmlns:r="http://schemas.openxmlformats.org/officeDocument/2006/relationships">
  <sheetPr codeName="Hoja17">
    <pageSetUpPr fitToPage="1"/>
  </sheetPr>
  <dimension ref="A1:X31"/>
  <sheetViews>
    <sheetView showGridLines="0" showZeros="0" showOutlineSymbols="0" zoomScale="82" zoomScaleNormal="82" zoomScalePageLayoutView="0" workbookViewId="0" topLeftCell="A1">
      <pane ySplit="4" topLeftCell="A5" activePane="bottomLeft" state="frozen"/>
      <selection pane="topLeft" activeCell="K132" sqref="K132"/>
      <selection pane="bottomLeft" activeCell="F16" sqref="F16"/>
    </sheetView>
  </sheetViews>
  <sheetFormatPr defaultColWidth="11.421875" defaultRowHeight="15"/>
  <cols>
    <col min="1" max="1" width="3.8515625" style="234" customWidth="1"/>
    <col min="2" max="2" width="32.140625" style="234" customWidth="1"/>
    <col min="3" max="3" width="11.8515625" style="234" customWidth="1"/>
    <col min="4" max="4" width="13.00390625" style="234" customWidth="1"/>
    <col min="5" max="23" width="11.57421875" style="234" customWidth="1"/>
    <col min="24" max="16384" width="11.421875" style="234" customWidth="1"/>
  </cols>
  <sheetData>
    <row r="1" spans="1:24" ht="27.75" customHeight="1" thickBot="1">
      <c r="A1" s="440"/>
      <c r="B1" s="440"/>
      <c r="C1" s="440"/>
      <c r="D1" s="440"/>
      <c r="E1" s="440"/>
      <c r="F1" s="440"/>
      <c r="G1" s="440"/>
      <c r="H1" s="440"/>
      <c r="I1" s="440"/>
      <c r="J1" s="440"/>
      <c r="K1" s="440"/>
      <c r="L1" s="440"/>
      <c r="M1" s="440"/>
      <c r="N1" s="440"/>
      <c r="O1" s="440"/>
      <c r="P1" s="440"/>
      <c r="Q1" s="440"/>
      <c r="R1" s="440"/>
      <c r="S1" s="440"/>
      <c r="T1" s="440"/>
      <c r="U1" s="440"/>
      <c r="V1" s="440"/>
      <c r="W1" s="440"/>
      <c r="X1" s="440"/>
    </row>
    <row r="2" spans="1:24" ht="15.75">
      <c r="A2" s="876" t="s">
        <v>158</v>
      </c>
      <c r="B2" s="877"/>
      <c r="C2" s="877"/>
      <c r="D2" s="877"/>
      <c r="E2" s="877"/>
      <c r="F2" s="877"/>
      <c r="G2" s="877"/>
      <c r="H2" s="877"/>
      <c r="I2" s="877"/>
      <c r="J2" s="877"/>
      <c r="K2" s="877"/>
      <c r="L2" s="877"/>
      <c r="M2" s="877"/>
      <c r="N2" s="877"/>
      <c r="O2" s="877"/>
      <c r="P2" s="877"/>
      <c r="Q2" s="877"/>
      <c r="R2" s="877"/>
      <c r="S2" s="877"/>
      <c r="T2" s="877"/>
      <c r="U2" s="877"/>
      <c r="V2" s="877"/>
      <c r="W2" s="878"/>
      <c r="X2" s="440"/>
    </row>
    <row r="3" spans="1:24" ht="15.75">
      <c r="A3" s="879" t="s">
        <v>223</v>
      </c>
      <c r="B3" s="880"/>
      <c r="C3" s="880"/>
      <c r="D3" s="880"/>
      <c r="E3" s="880"/>
      <c r="F3" s="880"/>
      <c r="G3" s="880"/>
      <c r="H3" s="880"/>
      <c r="I3" s="880"/>
      <c r="J3" s="880"/>
      <c r="K3" s="880"/>
      <c r="L3" s="880"/>
      <c r="M3" s="880"/>
      <c r="N3" s="880"/>
      <c r="O3" s="880"/>
      <c r="P3" s="880"/>
      <c r="Q3" s="880"/>
      <c r="R3" s="880"/>
      <c r="S3" s="880"/>
      <c r="T3" s="880"/>
      <c r="U3" s="880"/>
      <c r="V3" s="880"/>
      <c r="W3" s="881"/>
      <c r="X3" s="440"/>
    </row>
    <row r="4" spans="1:24" ht="15.75">
      <c r="A4" s="882" t="s">
        <v>354</v>
      </c>
      <c r="B4" s="883"/>
      <c r="C4" s="883"/>
      <c r="D4" s="883"/>
      <c r="E4" s="883"/>
      <c r="F4" s="883"/>
      <c r="G4" s="883"/>
      <c r="H4" s="883"/>
      <c r="I4" s="883"/>
      <c r="J4" s="883"/>
      <c r="K4" s="883"/>
      <c r="L4" s="883"/>
      <c r="M4" s="883"/>
      <c r="N4" s="883"/>
      <c r="O4" s="883"/>
      <c r="P4" s="883"/>
      <c r="Q4" s="883"/>
      <c r="R4" s="883"/>
      <c r="S4" s="883"/>
      <c r="T4" s="883"/>
      <c r="U4" s="883"/>
      <c r="V4" s="883"/>
      <c r="W4" s="884"/>
      <c r="X4" s="440"/>
    </row>
    <row r="5" spans="1:24" ht="15">
      <c r="A5" s="441"/>
      <c r="B5" s="442"/>
      <c r="C5" s="442"/>
      <c r="D5" s="442"/>
      <c r="E5" s="442"/>
      <c r="F5" s="442"/>
      <c r="G5" s="442"/>
      <c r="H5" s="442"/>
      <c r="I5" s="442"/>
      <c r="J5" s="442"/>
      <c r="K5" s="442"/>
      <c r="L5" s="442"/>
      <c r="M5" s="442"/>
      <c r="N5" s="442"/>
      <c r="O5" s="442"/>
      <c r="P5" s="442"/>
      <c r="Q5" s="442"/>
      <c r="R5" s="442"/>
      <c r="S5" s="442"/>
      <c r="T5" s="442"/>
      <c r="U5" s="442"/>
      <c r="V5" s="442"/>
      <c r="W5" s="443"/>
      <c r="X5" s="440"/>
    </row>
    <row r="6" spans="1:24" ht="15.75">
      <c r="A6" s="471" t="s">
        <v>362</v>
      </c>
      <c r="B6" s="48"/>
      <c r="C6" s="48"/>
      <c r="D6" s="48"/>
      <c r="E6" s="48"/>
      <c r="F6" s="48"/>
      <c r="G6" s="48"/>
      <c r="H6" s="48"/>
      <c r="I6" s="48"/>
      <c r="J6" s="48"/>
      <c r="K6" s="48"/>
      <c r="L6" s="48"/>
      <c r="M6" s="48"/>
      <c r="N6" s="48"/>
      <c r="O6" s="48"/>
      <c r="P6" s="48"/>
      <c r="Q6" s="48"/>
      <c r="R6" s="48"/>
      <c r="S6" s="48"/>
      <c r="T6" s="48"/>
      <c r="U6" s="48"/>
      <c r="V6" s="48"/>
      <c r="W6" s="186"/>
      <c r="X6" s="440"/>
    </row>
    <row r="7" spans="1:24" ht="12.75" customHeight="1">
      <c r="A7" s="867" t="s">
        <v>4</v>
      </c>
      <c r="B7" s="868"/>
      <c r="C7" s="873" t="s">
        <v>92</v>
      </c>
      <c r="D7" s="874"/>
      <c r="E7" s="874"/>
      <c r="F7" s="874"/>
      <c r="G7" s="874"/>
      <c r="H7" s="874"/>
      <c r="I7" s="874"/>
      <c r="J7" s="874"/>
      <c r="K7" s="874"/>
      <c r="L7" s="874"/>
      <c r="M7" s="874"/>
      <c r="N7" s="874"/>
      <c r="O7" s="874"/>
      <c r="P7" s="874"/>
      <c r="Q7" s="874"/>
      <c r="R7" s="874"/>
      <c r="S7" s="874"/>
      <c r="T7" s="874"/>
      <c r="U7" s="874"/>
      <c r="V7" s="874"/>
      <c r="W7" s="875"/>
      <c r="X7" s="440"/>
    </row>
    <row r="8" spans="1:24" ht="15">
      <c r="A8" s="869"/>
      <c r="B8" s="870"/>
      <c r="C8" s="8">
        <v>0</v>
      </c>
      <c r="D8" s="8">
        <v>1</v>
      </c>
      <c r="E8" s="8">
        <v>2</v>
      </c>
      <c r="F8" s="8">
        <v>3</v>
      </c>
      <c r="G8" s="8">
        <v>4</v>
      </c>
      <c r="H8" s="8">
        <v>5</v>
      </c>
      <c r="I8" s="8">
        <v>6</v>
      </c>
      <c r="J8" s="8">
        <v>7</v>
      </c>
      <c r="K8" s="8">
        <v>8</v>
      </c>
      <c r="L8" s="8">
        <v>9</v>
      </c>
      <c r="M8" s="8">
        <v>10</v>
      </c>
      <c r="N8" s="8">
        <v>11</v>
      </c>
      <c r="O8" s="8">
        <v>12</v>
      </c>
      <c r="P8" s="8">
        <v>13</v>
      </c>
      <c r="Q8" s="8">
        <v>14</v>
      </c>
      <c r="R8" s="8">
        <v>15</v>
      </c>
      <c r="S8" s="8">
        <v>16</v>
      </c>
      <c r="T8" s="8">
        <v>17</v>
      </c>
      <c r="U8" s="8">
        <v>18</v>
      </c>
      <c r="V8" s="8">
        <v>19</v>
      </c>
      <c r="W8" s="114">
        <v>20</v>
      </c>
      <c r="X8" s="440"/>
    </row>
    <row r="9" spans="1:24" ht="15">
      <c r="A9" s="871"/>
      <c r="B9" s="872"/>
      <c r="C9" s="8">
        <f>'F2'!C8</f>
        <v>2011</v>
      </c>
      <c r="D9" s="8">
        <f>+C9+1</f>
        <v>2012</v>
      </c>
      <c r="E9" s="8">
        <f aca="true" t="shared" si="0" ref="E9:W9">+D9+1</f>
        <v>2013</v>
      </c>
      <c r="F9" s="8">
        <f t="shared" si="0"/>
        <v>2014</v>
      </c>
      <c r="G9" s="8">
        <f t="shared" si="0"/>
        <v>2015</v>
      </c>
      <c r="H9" s="8">
        <f t="shared" si="0"/>
        <v>2016</v>
      </c>
      <c r="I9" s="8">
        <f t="shared" si="0"/>
        <v>2017</v>
      </c>
      <c r="J9" s="8">
        <f t="shared" si="0"/>
        <v>2018</v>
      </c>
      <c r="K9" s="8">
        <f t="shared" si="0"/>
        <v>2019</v>
      </c>
      <c r="L9" s="8">
        <f t="shared" si="0"/>
        <v>2020</v>
      </c>
      <c r="M9" s="8">
        <f t="shared" si="0"/>
        <v>2021</v>
      </c>
      <c r="N9" s="8">
        <f t="shared" si="0"/>
        <v>2022</v>
      </c>
      <c r="O9" s="8">
        <f t="shared" si="0"/>
        <v>2023</v>
      </c>
      <c r="P9" s="8">
        <f t="shared" si="0"/>
        <v>2024</v>
      </c>
      <c r="Q9" s="8">
        <f t="shared" si="0"/>
        <v>2025</v>
      </c>
      <c r="R9" s="8">
        <f t="shared" si="0"/>
        <v>2026</v>
      </c>
      <c r="S9" s="8">
        <f t="shared" si="0"/>
        <v>2027</v>
      </c>
      <c r="T9" s="8">
        <f t="shared" si="0"/>
        <v>2028</v>
      </c>
      <c r="U9" s="8">
        <f t="shared" si="0"/>
        <v>2029</v>
      </c>
      <c r="V9" s="8">
        <f t="shared" si="0"/>
        <v>2030</v>
      </c>
      <c r="W9" s="114">
        <f t="shared" si="0"/>
        <v>2031</v>
      </c>
      <c r="X9" s="472"/>
    </row>
    <row r="10" spans="1:24" ht="15">
      <c r="A10" s="473"/>
      <c r="B10" s="474"/>
      <c r="C10" s="474"/>
      <c r="D10" s="474"/>
      <c r="E10" s="474"/>
      <c r="F10" s="474"/>
      <c r="G10" s="474"/>
      <c r="H10" s="474"/>
      <c r="I10" s="474"/>
      <c r="J10" s="474"/>
      <c r="K10" s="474"/>
      <c r="L10" s="474"/>
      <c r="M10" s="474"/>
      <c r="N10" s="474"/>
      <c r="O10" s="474"/>
      <c r="P10" s="474"/>
      <c r="Q10" s="474"/>
      <c r="R10" s="474"/>
      <c r="S10" s="474"/>
      <c r="T10" s="474"/>
      <c r="U10" s="474"/>
      <c r="V10" s="474"/>
      <c r="W10" s="475"/>
      <c r="X10" s="440"/>
    </row>
    <row r="11" spans="1:24" ht="15">
      <c r="A11" s="476">
        <v>1</v>
      </c>
      <c r="B11" s="449" t="s">
        <v>12</v>
      </c>
      <c r="C11" s="477">
        <f>'F6A-SC'!C28</f>
        <v>0</v>
      </c>
      <c r="D11" s="477">
        <f>'F6A-SC'!D28</f>
        <v>431261.04</v>
      </c>
      <c r="E11" s="477">
        <f>'F6A-SC'!E28</f>
        <v>436729.93</v>
      </c>
      <c r="F11" s="477">
        <f>'F6A-SC'!F28</f>
        <v>441417.55</v>
      </c>
      <c r="G11" s="477">
        <f>'F6A-SC'!G28</f>
        <v>446886.44</v>
      </c>
      <c r="H11" s="477">
        <f>'F6A-SC'!H28</f>
        <v>451574.06</v>
      </c>
      <c r="I11" s="477">
        <f>'F6A-SC'!I28</f>
        <v>457042.94999999995</v>
      </c>
      <c r="J11" s="477">
        <f>'F6A-SC'!J28</f>
        <v>462511.83999999997</v>
      </c>
      <c r="K11" s="477">
        <f>'F6A-SC'!K28</f>
        <v>467980.73</v>
      </c>
      <c r="L11" s="477">
        <f>'F6A-SC'!L28</f>
        <v>473449.62</v>
      </c>
      <c r="M11" s="477">
        <f>'F6A-SC'!M28</f>
        <v>478918.51</v>
      </c>
      <c r="N11" s="477">
        <f>'F6A-SC'!N28</f>
        <v>484387.39999999997</v>
      </c>
      <c r="O11" s="477">
        <f>'F6A-SC'!O28</f>
        <v>489856.29</v>
      </c>
      <c r="P11" s="477">
        <f>'F6A-SC'!P28</f>
        <v>495325.18000000005</v>
      </c>
      <c r="Q11" s="477">
        <f>'F6A-SC'!Q28</f>
        <v>501575.33999999997</v>
      </c>
      <c r="R11" s="477">
        <f>'F6A-SC'!R28</f>
        <v>507044.23</v>
      </c>
      <c r="S11" s="477">
        <f>'F6A-SC'!S28</f>
        <v>513294.38999999996</v>
      </c>
      <c r="T11" s="477">
        <f>'F6A-SC'!T28</f>
        <v>518763.28</v>
      </c>
      <c r="U11" s="477">
        <f>'F6A-SC'!U28</f>
        <v>525013.44</v>
      </c>
      <c r="V11" s="477">
        <f>'F6A-SC'!V28</f>
        <v>531263.6000000001</v>
      </c>
      <c r="W11" s="478">
        <f>'F6A-SC'!W28</f>
        <v>537513.76</v>
      </c>
      <c r="X11" s="440"/>
    </row>
    <row r="12" spans="1:24" ht="15">
      <c r="A12" s="476">
        <v>2</v>
      </c>
      <c r="B12" s="449" t="s">
        <v>15</v>
      </c>
      <c r="C12" s="477">
        <f>'F5A-SC'!D60</f>
        <v>2486368.075413894</v>
      </c>
      <c r="D12" s="477">
        <f>'F5A-SC'!E60*sensInver</f>
        <v>90272.75870242613</v>
      </c>
      <c r="E12" s="477">
        <f>'F5A-SC'!F60*sensInver</f>
        <v>91191.066642372</v>
      </c>
      <c r="F12" s="477">
        <f>'F5A-SC'!G60*sensInver</f>
        <v>91983.82363250383</v>
      </c>
      <c r="G12" s="477">
        <f>'F5A-SC'!H60*sensInver</f>
        <v>92920.72041411014</v>
      </c>
      <c r="H12" s="477">
        <f>'F5A-SC'!I60*sensInver</f>
        <v>93831.3088919883</v>
      </c>
      <c r="I12" s="477">
        <f>'F5A-SC'!J60*sensInver</f>
        <v>94786.62655497453</v>
      </c>
      <c r="J12" s="477">
        <f>'F5A-SC'!K60*sensInver</f>
        <v>95751.83729542902</v>
      </c>
      <c r="K12" s="477">
        <f>'F5A-SC'!L60*sensInver</f>
        <v>96727.04123778938</v>
      </c>
      <c r="L12" s="477">
        <f>'F5A-SC'!M60*sensInver</f>
        <v>97712.33944110786</v>
      </c>
      <c r="M12" s="477">
        <f>'F5A-SC'!N60*sensInver</f>
        <v>98707.83390736122</v>
      </c>
      <c r="N12" s="477">
        <f>'F5A-SC'!O60*sensInver</f>
        <v>99713.62758983183</v>
      </c>
      <c r="O12" s="477">
        <f>'F5A-SC'!P60*sensInver</f>
        <v>100729.82440156114</v>
      </c>
      <c r="P12" s="477">
        <f>'F5A-SC'!Q60*sensInver</f>
        <v>101756.52922387587</v>
      </c>
      <c r="Q12" s="477">
        <f>'F5A-SC'!R60*sensInver</f>
        <v>102968.23706596583</v>
      </c>
      <c r="R12" s="477">
        <f>'F5A-SC'!S60*sensInver</f>
        <v>104016.27646964314</v>
      </c>
      <c r="S12" s="477">
        <f>'F5A-SC'!T60*sensInver</f>
        <v>105155.5944467441</v>
      </c>
      <c r="T12" s="477">
        <f>'F5A-SC'!U60*sensInver</f>
        <v>106225.98707807431</v>
      </c>
      <c r="U12" s="477">
        <f>'F5A-SC'!V60*sensInver</f>
        <v>107450.93275108622</v>
      </c>
      <c r="V12" s="477">
        <f>'F5A-SC'!W60*sensInver</f>
        <v>108626.36001441747</v>
      </c>
      <c r="W12" s="478">
        <f>'F5A-SC'!X60*sensInver</f>
        <v>-412324.2099404535</v>
      </c>
      <c r="X12" s="440"/>
    </row>
    <row r="13" spans="1:24" ht="15">
      <c r="A13" s="479"/>
      <c r="B13" s="465" t="s">
        <v>16</v>
      </c>
      <c r="C13" s="480">
        <f aca="true" t="shared" si="1" ref="C13:W13">+C11-C12</f>
        <v>-2486368.075413894</v>
      </c>
      <c r="D13" s="480">
        <f t="shared" si="1"/>
        <v>340988.2812975738</v>
      </c>
      <c r="E13" s="480">
        <f t="shared" si="1"/>
        <v>345538.863357628</v>
      </c>
      <c r="F13" s="480">
        <f t="shared" si="1"/>
        <v>349433.7263674962</v>
      </c>
      <c r="G13" s="480">
        <f t="shared" si="1"/>
        <v>353965.71958588983</v>
      </c>
      <c r="H13" s="480">
        <f t="shared" si="1"/>
        <v>357742.7511080117</v>
      </c>
      <c r="I13" s="480">
        <f t="shared" si="1"/>
        <v>362256.3234450254</v>
      </c>
      <c r="J13" s="480">
        <f t="shared" si="1"/>
        <v>366760.00270457094</v>
      </c>
      <c r="K13" s="480">
        <f t="shared" si="1"/>
        <v>371253.6887622106</v>
      </c>
      <c r="L13" s="480">
        <f t="shared" si="1"/>
        <v>375737.2805588921</v>
      </c>
      <c r="M13" s="480">
        <f t="shared" si="1"/>
        <v>380210.6760926388</v>
      </c>
      <c r="N13" s="480">
        <f t="shared" si="1"/>
        <v>384673.77241016814</v>
      </c>
      <c r="O13" s="480">
        <f t="shared" si="1"/>
        <v>389126.46559843887</v>
      </c>
      <c r="P13" s="480">
        <f t="shared" si="1"/>
        <v>393568.6507761242</v>
      </c>
      <c r="Q13" s="480">
        <f t="shared" si="1"/>
        <v>398607.10293403413</v>
      </c>
      <c r="R13" s="480">
        <f t="shared" si="1"/>
        <v>403027.95353035687</v>
      </c>
      <c r="S13" s="480">
        <f t="shared" si="1"/>
        <v>408138.7955532558</v>
      </c>
      <c r="T13" s="480">
        <f t="shared" si="1"/>
        <v>412537.2929219257</v>
      </c>
      <c r="U13" s="480">
        <f t="shared" si="1"/>
        <v>417562.50724891375</v>
      </c>
      <c r="V13" s="480">
        <f t="shared" si="1"/>
        <v>422637.23998558265</v>
      </c>
      <c r="W13" s="481">
        <f t="shared" si="1"/>
        <v>949837.9699404535</v>
      </c>
      <c r="X13" s="440"/>
    </row>
    <row r="14" spans="1:24" ht="15">
      <c r="A14" s="390"/>
      <c r="B14" s="24"/>
      <c r="C14" s="24"/>
      <c r="D14" s="24"/>
      <c r="E14" s="24"/>
      <c r="F14" s="24"/>
      <c r="G14" s="24"/>
      <c r="H14" s="24"/>
      <c r="I14" s="24"/>
      <c r="J14" s="24"/>
      <c r="K14" s="24"/>
      <c r="L14" s="24"/>
      <c r="M14" s="24"/>
      <c r="N14" s="24"/>
      <c r="O14" s="24"/>
      <c r="P14" s="24"/>
      <c r="Q14" s="24"/>
      <c r="R14" s="24"/>
      <c r="S14" s="24"/>
      <c r="T14" s="24"/>
      <c r="U14" s="24"/>
      <c r="V14" s="24"/>
      <c r="W14" s="392"/>
      <c r="X14" s="440"/>
    </row>
    <row r="15" spans="1:24" ht="15">
      <c r="A15" s="390"/>
      <c r="B15" s="24"/>
      <c r="C15" s="24"/>
      <c r="D15" s="24"/>
      <c r="E15" s="24"/>
      <c r="F15" s="24"/>
      <c r="G15" s="24"/>
      <c r="H15" s="24"/>
      <c r="I15" s="24"/>
      <c r="J15" s="24"/>
      <c r="K15" s="24"/>
      <c r="L15" s="24"/>
      <c r="M15" s="24"/>
      <c r="N15" s="24"/>
      <c r="O15" s="24"/>
      <c r="P15" s="24"/>
      <c r="Q15" s="24"/>
      <c r="R15" s="24"/>
      <c r="S15" s="24"/>
      <c r="T15" s="24"/>
      <c r="U15" s="24"/>
      <c r="V15" s="24"/>
      <c r="W15" s="392"/>
      <c r="X15" s="440"/>
    </row>
    <row r="16" spans="1:24" ht="15.75">
      <c r="A16" s="482" t="s">
        <v>361</v>
      </c>
      <c r="B16" s="24"/>
      <c r="C16" s="24"/>
      <c r="D16" s="24"/>
      <c r="E16" s="24"/>
      <c r="F16" s="24"/>
      <c r="G16" s="24"/>
      <c r="H16" s="24"/>
      <c r="I16" s="24"/>
      <c r="J16" s="24"/>
      <c r="K16" s="24"/>
      <c r="L16" s="24"/>
      <c r="M16" s="24"/>
      <c r="N16" s="24"/>
      <c r="O16" s="24"/>
      <c r="P16" s="24"/>
      <c r="Q16" s="24"/>
      <c r="R16" s="24"/>
      <c r="S16" s="24"/>
      <c r="T16" s="24"/>
      <c r="U16" s="24"/>
      <c r="V16" s="24"/>
      <c r="W16" s="392"/>
      <c r="X16" s="440"/>
    </row>
    <row r="17" spans="1:24" ht="12.75" customHeight="1">
      <c r="A17" s="867" t="s">
        <v>4</v>
      </c>
      <c r="B17" s="868"/>
      <c r="C17" s="873" t="s">
        <v>92</v>
      </c>
      <c r="D17" s="874"/>
      <c r="E17" s="874"/>
      <c r="F17" s="874"/>
      <c r="G17" s="874"/>
      <c r="H17" s="874"/>
      <c r="I17" s="874"/>
      <c r="J17" s="874"/>
      <c r="K17" s="874"/>
      <c r="L17" s="874"/>
      <c r="M17" s="874"/>
      <c r="N17" s="874"/>
      <c r="O17" s="874"/>
      <c r="P17" s="874"/>
      <c r="Q17" s="874"/>
      <c r="R17" s="874"/>
      <c r="S17" s="874"/>
      <c r="T17" s="874"/>
      <c r="U17" s="874"/>
      <c r="V17" s="874"/>
      <c r="W17" s="875"/>
      <c r="X17" s="440"/>
    </row>
    <row r="18" spans="1:24" ht="15">
      <c r="A18" s="869"/>
      <c r="B18" s="870"/>
      <c r="C18" s="8">
        <v>0</v>
      </c>
      <c r="D18" s="8">
        <v>1</v>
      </c>
      <c r="E18" s="8">
        <v>2</v>
      </c>
      <c r="F18" s="8">
        <v>3</v>
      </c>
      <c r="G18" s="8">
        <v>4</v>
      </c>
      <c r="H18" s="8">
        <v>5</v>
      </c>
      <c r="I18" s="8">
        <v>6</v>
      </c>
      <c r="J18" s="8">
        <v>7</v>
      </c>
      <c r="K18" s="8">
        <v>8</v>
      </c>
      <c r="L18" s="8">
        <v>9</v>
      </c>
      <c r="M18" s="8">
        <v>10</v>
      </c>
      <c r="N18" s="8">
        <v>11</v>
      </c>
      <c r="O18" s="8">
        <v>12</v>
      </c>
      <c r="P18" s="8">
        <v>13</v>
      </c>
      <c r="Q18" s="8">
        <v>14</v>
      </c>
      <c r="R18" s="8">
        <v>15</v>
      </c>
      <c r="S18" s="8">
        <v>16</v>
      </c>
      <c r="T18" s="8">
        <v>17</v>
      </c>
      <c r="U18" s="8">
        <v>18</v>
      </c>
      <c r="V18" s="8">
        <v>19</v>
      </c>
      <c r="W18" s="114">
        <v>20</v>
      </c>
      <c r="X18" s="440"/>
    </row>
    <row r="19" spans="1:24" ht="15">
      <c r="A19" s="871"/>
      <c r="B19" s="872"/>
      <c r="C19" s="8">
        <f>'F2'!C8</f>
        <v>2011</v>
      </c>
      <c r="D19" s="8">
        <f aca="true" t="shared" si="2" ref="D19:W19">+C19+1</f>
        <v>2012</v>
      </c>
      <c r="E19" s="8">
        <f t="shared" si="2"/>
        <v>2013</v>
      </c>
      <c r="F19" s="8">
        <f t="shared" si="2"/>
        <v>2014</v>
      </c>
      <c r="G19" s="8">
        <f t="shared" si="2"/>
        <v>2015</v>
      </c>
      <c r="H19" s="8">
        <f t="shared" si="2"/>
        <v>2016</v>
      </c>
      <c r="I19" s="8">
        <f t="shared" si="2"/>
        <v>2017</v>
      </c>
      <c r="J19" s="8">
        <f t="shared" si="2"/>
        <v>2018</v>
      </c>
      <c r="K19" s="8">
        <f t="shared" si="2"/>
        <v>2019</v>
      </c>
      <c r="L19" s="8">
        <f t="shared" si="2"/>
        <v>2020</v>
      </c>
      <c r="M19" s="8">
        <f t="shared" si="2"/>
        <v>2021</v>
      </c>
      <c r="N19" s="8">
        <f t="shared" si="2"/>
        <v>2022</v>
      </c>
      <c r="O19" s="8">
        <f t="shared" si="2"/>
        <v>2023</v>
      </c>
      <c r="P19" s="8">
        <f t="shared" si="2"/>
        <v>2024</v>
      </c>
      <c r="Q19" s="8">
        <f t="shared" si="2"/>
        <v>2025</v>
      </c>
      <c r="R19" s="8">
        <f t="shared" si="2"/>
        <v>2026</v>
      </c>
      <c r="S19" s="8">
        <f t="shared" si="2"/>
        <v>2027</v>
      </c>
      <c r="T19" s="8">
        <f t="shared" si="2"/>
        <v>2028</v>
      </c>
      <c r="U19" s="8">
        <f t="shared" si="2"/>
        <v>2029</v>
      </c>
      <c r="V19" s="8">
        <f t="shared" si="2"/>
        <v>2030</v>
      </c>
      <c r="W19" s="114">
        <f t="shared" si="2"/>
        <v>2031</v>
      </c>
      <c r="X19" s="472"/>
    </row>
    <row r="20" spans="1:24" ht="15">
      <c r="A20" s="473"/>
      <c r="B20" s="474"/>
      <c r="C20" s="474"/>
      <c r="D20" s="474"/>
      <c r="E20" s="474"/>
      <c r="F20" s="474"/>
      <c r="G20" s="474"/>
      <c r="H20" s="474"/>
      <c r="I20" s="474"/>
      <c r="J20" s="474"/>
      <c r="K20" s="474"/>
      <c r="L20" s="474"/>
      <c r="M20" s="474"/>
      <c r="N20" s="474"/>
      <c r="O20" s="474"/>
      <c r="P20" s="474"/>
      <c r="Q20" s="474"/>
      <c r="R20" s="474"/>
      <c r="S20" s="474"/>
      <c r="T20" s="474"/>
      <c r="U20" s="474"/>
      <c r="V20" s="474"/>
      <c r="W20" s="475"/>
      <c r="X20" s="440"/>
    </row>
    <row r="21" spans="1:24" ht="15">
      <c r="A21" s="476">
        <v>1</v>
      </c>
      <c r="B21" s="449" t="s">
        <v>12</v>
      </c>
      <c r="C21" s="477">
        <f>'F6A-SF'!C28</f>
        <v>0</v>
      </c>
      <c r="D21" s="477">
        <f>'F6A-SF'!D28</f>
        <v>431261.04</v>
      </c>
      <c r="E21" s="477">
        <f>'F6A-SF'!E28</f>
        <v>436729.93</v>
      </c>
      <c r="F21" s="477">
        <f>'F6A-SF'!F28</f>
        <v>441417.55</v>
      </c>
      <c r="G21" s="477">
        <f>'F6A-SF'!G28</f>
        <v>446886.44</v>
      </c>
      <c r="H21" s="477">
        <f>'F6A-SF'!H28</f>
        <v>451574.06</v>
      </c>
      <c r="I21" s="477">
        <f>'F6A-SF'!I28</f>
        <v>457042.94999999995</v>
      </c>
      <c r="J21" s="477">
        <f>'F6A-SF'!J28</f>
        <v>462511.83999999997</v>
      </c>
      <c r="K21" s="477">
        <f>'F6A-SF'!K28</f>
        <v>467980.73</v>
      </c>
      <c r="L21" s="477">
        <f>'F6A-SF'!L28</f>
        <v>473449.62</v>
      </c>
      <c r="M21" s="477">
        <f>'F6A-SF'!M28</f>
        <v>478918.51</v>
      </c>
      <c r="N21" s="477">
        <f>'F6A-SF'!N28</f>
        <v>484387.39999999997</v>
      </c>
      <c r="O21" s="477">
        <f>'F6A-SF'!O28</f>
        <v>489856.29</v>
      </c>
      <c r="P21" s="477">
        <f>'F6A-SF'!P28</f>
        <v>495325.18000000005</v>
      </c>
      <c r="Q21" s="477">
        <f>'F6A-SF'!Q28</f>
        <v>501575.33999999997</v>
      </c>
      <c r="R21" s="477">
        <f>'F6A-SF'!R28</f>
        <v>507044.23</v>
      </c>
      <c r="S21" s="477">
        <f>'F6A-SF'!S28</f>
        <v>513294.38999999996</v>
      </c>
      <c r="T21" s="477">
        <f>'F6A-SF'!T28</f>
        <v>518763.28</v>
      </c>
      <c r="U21" s="477">
        <f>'F6A-SF'!U28</f>
        <v>525013.44</v>
      </c>
      <c r="V21" s="477">
        <f>'F6A-SF'!V28</f>
        <v>531263.6000000001</v>
      </c>
      <c r="W21" s="478">
        <f>'F6A-SF'!W28</f>
        <v>537513.76</v>
      </c>
      <c r="X21" s="440"/>
    </row>
    <row r="22" spans="1:24" ht="15">
      <c r="A22" s="476">
        <v>2</v>
      </c>
      <c r="B22" s="449" t="s">
        <v>15</v>
      </c>
      <c r="C22" s="477">
        <f>'F5A-SF'!D67</f>
        <v>5680443.38083803</v>
      </c>
      <c r="D22" s="477">
        <f>'F5A-SF'!E67</f>
        <v>94655.1617322746</v>
      </c>
      <c r="E22" s="477">
        <f>'F5A-SF'!F67</f>
        <v>94655.1617322746</v>
      </c>
      <c r="F22" s="477">
        <f>'F5A-SF'!G67</f>
        <v>94655.1617322746</v>
      </c>
      <c r="G22" s="477">
        <f>'F5A-SF'!H67</f>
        <v>1439607.9653322746</v>
      </c>
      <c r="H22" s="477">
        <f>'F5A-SF'!I67</f>
        <v>94655.1617322746</v>
      </c>
      <c r="I22" s="477">
        <f>'F5A-SF'!J67</f>
        <v>94655.1617322746</v>
      </c>
      <c r="J22" s="477">
        <f>'F5A-SF'!K67</f>
        <v>94655.1617322746</v>
      </c>
      <c r="K22" s="477">
        <f>'F5A-SF'!L67</f>
        <v>1439607.9653322746</v>
      </c>
      <c r="L22" s="477">
        <f>'F5A-SF'!M67</f>
        <v>94655.1617322746</v>
      </c>
      <c r="M22" s="477">
        <f>'F5A-SF'!N67</f>
        <v>334825.3052322746</v>
      </c>
      <c r="N22" s="477">
        <f>'F5A-SF'!O67</f>
        <v>94655.1617322746</v>
      </c>
      <c r="O22" s="477">
        <f>'F5A-SF'!P67</f>
        <v>1439607.9653322746</v>
      </c>
      <c r="P22" s="477">
        <f>'F5A-SF'!Q67</f>
        <v>94655.1617322746</v>
      </c>
      <c r="Q22" s="477">
        <f>'F5A-SF'!R67</f>
        <v>94655.1617322746</v>
      </c>
      <c r="R22" s="477">
        <f>'F5A-SF'!S67</f>
        <v>94655.1617322746</v>
      </c>
      <c r="S22" s="477">
        <f>'F5A-SF'!T67</f>
        <v>1439607.9653322746</v>
      </c>
      <c r="T22" s="477">
        <f>'F5A-SF'!U67</f>
        <v>94655.1617322746</v>
      </c>
      <c r="U22" s="477">
        <f>'F5A-SF'!V67</f>
        <v>94655.1617322746</v>
      </c>
      <c r="V22" s="477">
        <f>'F5A-SF'!W67</f>
        <v>94655.1617322746</v>
      </c>
      <c r="W22" s="478">
        <f>'F5A-SF'!X67</f>
        <v>1679778.1088322746</v>
      </c>
      <c r="X22" s="440"/>
    </row>
    <row r="23" spans="1:24" ht="15">
      <c r="A23" s="479"/>
      <c r="B23" s="465" t="s">
        <v>16</v>
      </c>
      <c r="C23" s="480">
        <f>+C21-C22</f>
        <v>-5680443.38083803</v>
      </c>
      <c r="D23" s="480">
        <f aca="true" t="shared" si="3" ref="D23:W23">+D21-D22</f>
        <v>336605.87826772535</v>
      </c>
      <c r="E23" s="480">
        <f t="shared" si="3"/>
        <v>342074.76826772536</v>
      </c>
      <c r="F23" s="480">
        <f t="shared" si="3"/>
        <v>346762.38826772536</v>
      </c>
      <c r="G23" s="480">
        <f t="shared" si="3"/>
        <v>-992721.5253322746</v>
      </c>
      <c r="H23" s="480">
        <f t="shared" si="3"/>
        <v>356918.89826772537</v>
      </c>
      <c r="I23" s="480">
        <f t="shared" si="3"/>
        <v>362387.7882677254</v>
      </c>
      <c r="J23" s="480">
        <f t="shared" si="3"/>
        <v>367856.6782677254</v>
      </c>
      <c r="K23" s="480">
        <f t="shared" si="3"/>
        <v>-971627.2353322746</v>
      </c>
      <c r="L23" s="480">
        <f t="shared" si="3"/>
        <v>378794.4582677254</v>
      </c>
      <c r="M23" s="480">
        <f t="shared" si="3"/>
        <v>144093.20476772543</v>
      </c>
      <c r="N23" s="480">
        <f t="shared" si="3"/>
        <v>389732.23826772533</v>
      </c>
      <c r="O23" s="480">
        <f t="shared" si="3"/>
        <v>-949751.6753322745</v>
      </c>
      <c r="P23" s="480">
        <f t="shared" si="3"/>
        <v>400670.0182677255</v>
      </c>
      <c r="Q23" s="480">
        <f t="shared" si="3"/>
        <v>406920.1782677254</v>
      </c>
      <c r="R23" s="480">
        <f t="shared" si="3"/>
        <v>412389.0682677254</v>
      </c>
      <c r="S23" s="480">
        <f t="shared" si="3"/>
        <v>-926313.5753322747</v>
      </c>
      <c r="T23" s="480">
        <f t="shared" si="3"/>
        <v>424108.11826772545</v>
      </c>
      <c r="U23" s="480">
        <f t="shared" si="3"/>
        <v>430358.27826772537</v>
      </c>
      <c r="V23" s="480">
        <f t="shared" si="3"/>
        <v>436608.4382677255</v>
      </c>
      <c r="W23" s="481">
        <f t="shared" si="3"/>
        <v>-1142264.3488322746</v>
      </c>
      <c r="X23" s="440"/>
    </row>
    <row r="24" spans="1:24" ht="15">
      <c r="A24" s="390"/>
      <c r="B24" s="24"/>
      <c r="C24" s="24"/>
      <c r="D24" s="24"/>
      <c r="E24" s="24"/>
      <c r="F24" s="24"/>
      <c r="G24" s="24"/>
      <c r="H24" s="24"/>
      <c r="I24" s="24"/>
      <c r="J24" s="24"/>
      <c r="K24" s="24"/>
      <c r="L24" s="24"/>
      <c r="M24" s="24"/>
      <c r="N24" s="24"/>
      <c r="O24" s="24"/>
      <c r="P24" s="24"/>
      <c r="Q24" s="24"/>
      <c r="R24" s="24"/>
      <c r="S24" s="24"/>
      <c r="T24" s="24"/>
      <c r="U24" s="24"/>
      <c r="V24" s="24"/>
      <c r="W24" s="392"/>
      <c r="X24" s="440"/>
    </row>
    <row r="25" spans="1:24" ht="15.75" thickBot="1">
      <c r="A25" s="390"/>
      <c r="B25" s="24"/>
      <c r="C25" s="24"/>
      <c r="D25" s="24"/>
      <c r="E25" s="24"/>
      <c r="F25" s="24"/>
      <c r="G25" s="24"/>
      <c r="H25" s="24"/>
      <c r="I25" s="24"/>
      <c r="J25" s="24"/>
      <c r="K25" s="24"/>
      <c r="L25" s="24"/>
      <c r="M25" s="24"/>
      <c r="N25" s="24"/>
      <c r="O25" s="24"/>
      <c r="P25" s="24"/>
      <c r="Q25" s="24"/>
      <c r="R25" s="24"/>
      <c r="S25" s="24"/>
      <c r="T25" s="24"/>
      <c r="U25" s="24"/>
      <c r="V25" s="24"/>
      <c r="W25" s="392"/>
      <c r="X25" s="440"/>
    </row>
    <row r="26" spans="1:24" ht="15">
      <c r="A26" s="390"/>
      <c r="B26" s="483" t="s">
        <v>159</v>
      </c>
      <c r="C26" s="484" t="s">
        <v>37</v>
      </c>
      <c r="D26" s="485"/>
      <c r="E26" s="24"/>
      <c r="F26" s="24"/>
      <c r="G26" s="24"/>
      <c r="H26" s="24"/>
      <c r="I26" s="24"/>
      <c r="J26" s="24"/>
      <c r="K26" s="24"/>
      <c r="L26" s="24"/>
      <c r="M26" s="24"/>
      <c r="N26" s="24"/>
      <c r="O26" s="24"/>
      <c r="P26" s="24"/>
      <c r="Q26" s="24"/>
      <c r="R26" s="24"/>
      <c r="S26" s="24"/>
      <c r="T26" s="24"/>
      <c r="U26" s="24"/>
      <c r="V26" s="24"/>
      <c r="W26" s="392"/>
      <c r="X26" s="440"/>
    </row>
    <row r="27" spans="1:24" ht="25.5">
      <c r="A27" s="390"/>
      <c r="B27" s="486" t="s">
        <v>160</v>
      </c>
      <c r="C27" s="487" t="str">
        <f>IF(C28="","","Sistema Convencional")</f>
        <v>Sistema Convencional</v>
      </c>
      <c r="D27" s="488" t="str">
        <f>IF(D28="","","Sistema Fotovoltaico")</f>
        <v>Sistema Fotovoltaico</v>
      </c>
      <c r="E27" s="24"/>
      <c r="F27" s="24"/>
      <c r="G27" s="24"/>
      <c r="H27" s="24"/>
      <c r="I27" s="24"/>
      <c r="J27" s="24"/>
      <c r="K27" s="24"/>
      <c r="L27" s="24"/>
      <c r="M27" s="24"/>
      <c r="N27" s="24"/>
      <c r="O27" s="24"/>
      <c r="P27" s="24"/>
      <c r="Q27" s="24"/>
      <c r="R27" s="24"/>
      <c r="S27" s="24"/>
      <c r="T27" s="24"/>
      <c r="U27" s="24"/>
      <c r="V27" s="24"/>
      <c r="W27" s="392"/>
      <c r="X27" s="440"/>
    </row>
    <row r="28" spans="1:24" ht="15">
      <c r="A28" s="390"/>
      <c r="B28" s="74" t="s">
        <v>161</v>
      </c>
      <c r="C28" s="72">
        <v>0.09</v>
      </c>
      <c r="D28" s="75">
        <v>0.09</v>
      </c>
      <c r="E28" s="24"/>
      <c r="F28" s="24"/>
      <c r="G28" s="24"/>
      <c r="H28" s="24"/>
      <c r="I28" s="24"/>
      <c r="J28" s="24"/>
      <c r="K28" s="24"/>
      <c r="L28" s="24"/>
      <c r="M28" s="24"/>
      <c r="N28" s="24"/>
      <c r="O28" s="24"/>
      <c r="P28" s="24"/>
      <c r="Q28" s="24"/>
      <c r="R28" s="24"/>
      <c r="S28" s="24"/>
      <c r="T28" s="24"/>
      <c r="U28" s="24"/>
      <c r="V28" s="24"/>
      <c r="W28" s="392"/>
      <c r="X28" s="440"/>
    </row>
    <row r="29" spans="1:24" ht="15">
      <c r="A29" s="390"/>
      <c r="B29" s="489" t="s">
        <v>162</v>
      </c>
      <c r="C29" s="73">
        <f>IF(Entrada!D16="Sistema Fotovoltaico","",NPV(C28,D13:W13)+C13)</f>
        <v>990995.7989144581</v>
      </c>
      <c r="D29" s="76">
        <f>IF(Entrada!D16="Sistema Convencional","",NPV(D28,D23:W23)+C23)</f>
        <v>-5106224.125039693</v>
      </c>
      <c r="E29" s="24"/>
      <c r="F29" s="24"/>
      <c r="G29" s="24"/>
      <c r="H29" s="24"/>
      <c r="I29" s="24"/>
      <c r="J29" s="24"/>
      <c r="K29" s="24"/>
      <c r="L29" s="24"/>
      <c r="M29" s="24"/>
      <c r="N29" s="24"/>
      <c r="O29" s="24"/>
      <c r="P29" s="24"/>
      <c r="Q29" s="24"/>
      <c r="R29" s="24"/>
      <c r="S29" s="24"/>
      <c r="T29" s="24"/>
      <c r="U29" s="24"/>
      <c r="V29" s="24"/>
      <c r="W29" s="392"/>
      <c r="X29" s="440"/>
    </row>
    <row r="30" spans="1:24" ht="15.75" thickBot="1">
      <c r="A30" s="390"/>
      <c r="B30" s="490" t="s">
        <v>28</v>
      </c>
      <c r="C30" s="491">
        <f>IF(Entrada!D16="Sistema Fotovoltaico","",_xlfn.IFERROR(IRR(C13:W13),0))</f>
        <v>0.138153879106933</v>
      </c>
      <c r="D30" s="492">
        <f>IF(Entrada!D16="Sistema Convencional","",_xlfn.IFERROR(IRR(C23:W23),0))</f>
        <v>0</v>
      </c>
      <c r="E30" s="24"/>
      <c r="F30" s="24"/>
      <c r="G30" s="24"/>
      <c r="H30" s="24"/>
      <c r="I30" s="24"/>
      <c r="J30" s="24"/>
      <c r="K30" s="24"/>
      <c r="L30" s="24"/>
      <c r="M30" s="24"/>
      <c r="N30" s="24"/>
      <c r="O30" s="24"/>
      <c r="P30" s="24"/>
      <c r="Q30" s="24"/>
      <c r="R30" s="24"/>
      <c r="S30" s="24"/>
      <c r="T30" s="24"/>
      <c r="U30" s="24"/>
      <c r="V30" s="24"/>
      <c r="W30" s="392"/>
      <c r="X30" s="440"/>
    </row>
    <row r="31" spans="1:24" ht="15.75" thickBot="1">
      <c r="A31" s="436"/>
      <c r="B31" s="437"/>
      <c r="C31" s="437"/>
      <c r="D31" s="437"/>
      <c r="E31" s="437"/>
      <c r="F31" s="437"/>
      <c r="G31" s="437"/>
      <c r="H31" s="437"/>
      <c r="I31" s="437"/>
      <c r="J31" s="437"/>
      <c r="K31" s="437"/>
      <c r="L31" s="437"/>
      <c r="M31" s="437"/>
      <c r="N31" s="437"/>
      <c r="O31" s="437"/>
      <c r="P31" s="437"/>
      <c r="Q31" s="437"/>
      <c r="R31" s="437"/>
      <c r="S31" s="437"/>
      <c r="T31" s="437"/>
      <c r="U31" s="437"/>
      <c r="V31" s="437"/>
      <c r="W31" s="439"/>
      <c r="X31" s="440"/>
    </row>
  </sheetData>
  <sheetProtection sheet="1" objects="1" scenarios="1" formatCells="0" formatColumns="0" formatRows="0"/>
  <mergeCells count="7">
    <mergeCell ref="A2:W2"/>
    <mergeCell ref="A3:W3"/>
    <mergeCell ref="A4:W4"/>
    <mergeCell ref="A7:B9"/>
    <mergeCell ref="C7:W7"/>
    <mergeCell ref="A17:B19"/>
    <mergeCell ref="C17:W17"/>
  </mergeCells>
  <printOptions horizontalCentered="1" verticalCentered="1"/>
  <pageMargins left="0.2362204724409449" right="0.2362204724409449" top="1.3385826771653544" bottom="0.7480314960629921" header="0.31496062992125984" footer="0.31496062992125984"/>
  <pageSetup fitToHeight="1" fitToWidth="1" horizontalDpi="600" verticalDpi="600" orientation="landscape" paperSize="9" scale="51" r:id="rId2"/>
  <drawing r:id="rId1"/>
</worksheet>
</file>

<file path=xl/worksheets/sheet2.xml><?xml version="1.0" encoding="utf-8"?>
<worksheet xmlns="http://schemas.openxmlformats.org/spreadsheetml/2006/main" xmlns:r="http://schemas.openxmlformats.org/officeDocument/2006/relationships">
  <sheetPr codeName="Hoja6">
    <pageSetUpPr fitToPage="1"/>
  </sheetPr>
  <dimension ref="B3:I32"/>
  <sheetViews>
    <sheetView showGridLines="0" defaultGridColor="0" zoomScalePageLayoutView="0" colorId="17" workbookViewId="0" topLeftCell="A1">
      <pane xSplit="1" ySplit="5" topLeftCell="B9" activePane="bottomRight" state="frozen"/>
      <selection pane="topLeft" activeCell="K132" sqref="K132"/>
      <selection pane="topRight" activeCell="K132" sqref="K132"/>
      <selection pane="bottomLeft" activeCell="K132" sqref="K132"/>
      <selection pane="bottomRight" activeCell="C21" sqref="C21"/>
    </sheetView>
  </sheetViews>
  <sheetFormatPr defaultColWidth="11.421875" defaultRowHeight="15"/>
  <cols>
    <col min="1" max="1" width="0.9921875" style="234" customWidth="1"/>
    <col min="2" max="2" width="46.421875" style="234" customWidth="1"/>
    <col min="3" max="3" width="32.00390625" style="234" customWidth="1"/>
    <col min="4" max="4" width="30.57421875" style="234" customWidth="1"/>
    <col min="5" max="5" width="20.57421875" style="234" customWidth="1"/>
    <col min="6" max="8" width="11.421875" style="234" customWidth="1"/>
    <col min="9" max="16384" width="11.421875" style="234" customWidth="1"/>
  </cols>
  <sheetData>
    <row r="2" ht="12" customHeight="1" thickBot="1"/>
    <row r="3" spans="2:5" ht="23.25">
      <c r="B3" s="821" t="s">
        <v>230</v>
      </c>
      <c r="C3" s="822"/>
      <c r="D3" s="822"/>
      <c r="E3" s="823"/>
    </row>
    <row r="4" spans="2:5" ht="21">
      <c r="B4" s="779" t="s">
        <v>448</v>
      </c>
      <c r="C4" s="828" t="str">
        <f>IF(D17&lt;C17,"Sistema Convencional","Sistema Fotovoltaico")</f>
        <v>Sistema Convencional</v>
      </c>
      <c r="D4" s="829"/>
      <c r="E4" s="830"/>
    </row>
    <row r="5" spans="2:5" ht="15">
      <c r="B5" s="105" t="s">
        <v>102</v>
      </c>
      <c r="C5" s="103" t="s">
        <v>323</v>
      </c>
      <c r="D5" s="103" t="s">
        <v>287</v>
      </c>
      <c r="E5" s="235" t="s">
        <v>237</v>
      </c>
    </row>
    <row r="6" spans="2:5" ht="15.75">
      <c r="B6" s="106" t="s">
        <v>211</v>
      </c>
      <c r="C6" s="102"/>
      <c r="D6" s="102"/>
      <c r="E6" s="107"/>
    </row>
    <row r="7" spans="2:5" ht="15">
      <c r="B7" s="108" t="s">
        <v>184</v>
      </c>
      <c r="C7" s="826">
        <f>'F2'!C9</f>
        <v>4.4010989010989015</v>
      </c>
      <c r="D7" s="827"/>
      <c r="E7" s="224" t="str">
        <f>IF(AND(C7&gt;2.5,C7&lt;7),"CORRECTO","ERROR")</f>
        <v>CORRECTO</v>
      </c>
    </row>
    <row r="8" spans="2:5" ht="15">
      <c r="B8" s="108" t="s">
        <v>43</v>
      </c>
      <c r="C8" s="824">
        <f>'F2'!C12</f>
        <v>1</v>
      </c>
      <c r="D8" s="825"/>
      <c r="E8" s="224" t="str">
        <f>IF(AND(C8&gt;=30%,C8&lt;=100%),"CORRECTO","ERROR")</f>
        <v>CORRECTO</v>
      </c>
    </row>
    <row r="9" spans="2:5" ht="15">
      <c r="B9" s="108" t="s">
        <v>445</v>
      </c>
      <c r="C9" s="824">
        <f>'F2'!B70</f>
        <v>0.018824153416455713</v>
      </c>
      <c r="D9" s="825"/>
      <c r="E9" s="224" t="str">
        <f>IF(AND(C9&gt;0.8%,C9&lt;3.5%),"CORRECTO","ERROR")</f>
        <v>CORRECTO</v>
      </c>
    </row>
    <row r="10" spans="2:5" ht="15">
      <c r="B10" s="109" t="s">
        <v>107</v>
      </c>
      <c r="C10" s="824">
        <f>'F2'!B71</f>
        <v>0.011625550603047818</v>
      </c>
      <c r="D10" s="825"/>
      <c r="E10" s="224" t="str">
        <f>IF(C10&gt;3%,"ERROR:Crecimiento Muy Alto","CORRECTO")</f>
        <v>CORRECTO</v>
      </c>
    </row>
    <row r="11" spans="2:6" ht="15">
      <c r="B11" s="110"/>
      <c r="C11" s="104"/>
      <c r="D11" s="104"/>
      <c r="E11" s="111"/>
      <c r="F11" s="696"/>
    </row>
    <row r="12" spans="2:5" ht="15.75">
      <c r="B12" s="106" t="s">
        <v>234</v>
      </c>
      <c r="C12" s="102"/>
      <c r="D12" s="102"/>
      <c r="E12" s="107"/>
    </row>
    <row r="13" spans="2:5" ht="15">
      <c r="B13" s="108" t="s">
        <v>235</v>
      </c>
      <c r="C13" s="697" t="str">
        <f>IF(Entrada!D16="Sistema Fotovoltaico","",IF(MIN('F4-SC'!B20:V20)&lt;0,"OFERTA INSUFICIENTE","OFERTA SUFICIENTE"))</f>
        <v>OFERTA SUFICIENTE</v>
      </c>
      <c r="D13" s="697" t="str">
        <f>IF(Entrada!D16="Sistema Convencional","",IF(MIN('F4-SF'!B23:V23)&lt;0,"OFERTA INSUFICIENTE","OFERTA SUFICIENTE"))</f>
        <v>OFERTA SUFICIENTE</v>
      </c>
      <c r="E13" s="224"/>
    </row>
    <row r="14" spans="2:5" ht="15">
      <c r="B14" s="109" t="s">
        <v>250</v>
      </c>
      <c r="C14" s="697" t="str">
        <f>IF(Entrada!D16="Sistema Fotovoltaico","",IF(MIN('F4-SC'!B34:V34)&lt;0,"SALDO DE ENERGIA INSUFICIENTE","SALDO DE ENERGIA SUFICIENTE"))</f>
        <v>SALDO DE ENERGIA SUFICIENTE</v>
      </c>
      <c r="D14" s="697"/>
      <c r="E14" s="224"/>
    </row>
    <row r="15" spans="2:5" ht="15">
      <c r="B15" s="126"/>
      <c r="C15" s="687"/>
      <c r="D15" s="687"/>
      <c r="E15" s="673"/>
    </row>
    <row r="16" spans="2:9" ht="15.75">
      <c r="B16" s="106" t="s">
        <v>231</v>
      </c>
      <c r="C16" s="102"/>
      <c r="D16" s="102"/>
      <c r="E16" s="107"/>
      <c r="H16" s="698"/>
      <c r="I16" s="698"/>
    </row>
    <row r="17" spans="2:9" ht="15">
      <c r="B17" s="108" t="s">
        <v>232</v>
      </c>
      <c r="C17" s="86">
        <f>_xlfn.IFERROR('F7A'!C29,"")</f>
        <v>990995.7989144581</v>
      </c>
      <c r="D17" s="699">
        <f>'F7A'!D29</f>
        <v>-5106224.125039693</v>
      </c>
      <c r="E17" s="240" t="str">
        <f>IF(HLOOKUP(MAX(C17:D17),C17:D21,1,FALSE)&lt;0,"NO RENTABLE","RENTABLE")</f>
        <v>RENTABLE</v>
      </c>
      <c r="H17" s="700"/>
      <c r="I17" s="700"/>
    </row>
    <row r="18" spans="2:9" ht="15">
      <c r="B18" s="112" t="s">
        <v>233</v>
      </c>
      <c r="C18" s="701">
        <f>'F7A'!C30</f>
        <v>0.138153879106933</v>
      </c>
      <c r="D18" s="702">
        <f>'F7A'!D30</f>
        <v>0</v>
      </c>
      <c r="E18" s="241" t="str">
        <f>IF(HLOOKUP(MAX(C17:D17),C17:D21,2,FALSE)&lt;10%,"NO RENTABLE","RENTABLE")</f>
        <v>RENTABLE</v>
      </c>
      <c r="G18" s="703"/>
      <c r="H18" s="700"/>
      <c r="I18" s="700"/>
    </row>
    <row r="19" spans="2:5" ht="15">
      <c r="B19" s="126"/>
      <c r="C19" s="687"/>
      <c r="D19" s="687"/>
      <c r="E19" s="673"/>
    </row>
    <row r="20" spans="2:5" ht="15.75">
      <c r="B20" s="106" t="s">
        <v>236</v>
      </c>
      <c r="C20" s="102"/>
      <c r="D20" s="102"/>
      <c r="E20" s="107"/>
    </row>
    <row r="21" spans="2:5" ht="15">
      <c r="B21" s="113" t="s">
        <v>175</v>
      </c>
      <c r="C21" s="704">
        <f>'F8'!C49</f>
        <v>1.013969177142254</v>
      </c>
      <c r="D21" s="704">
        <f>'F8'!J49</f>
        <v>1.0011623772401144</v>
      </c>
      <c r="E21" s="224" t="str">
        <f>IF(HLOOKUP(MAX(C17:D17),C17:D21,5,FALSE)&lt;1,"NO SOSTENIBLE","SOSTENIBLE")</f>
        <v>SOSTENIBLE</v>
      </c>
    </row>
    <row r="22" spans="2:5" ht="15">
      <c r="B22" s="126"/>
      <c r="C22" s="687"/>
      <c r="D22" s="687"/>
      <c r="E22" s="673"/>
    </row>
    <row r="23" spans="2:5" ht="15.75">
      <c r="B23" s="106" t="s">
        <v>248</v>
      </c>
      <c r="C23" s="102"/>
      <c r="D23" s="102"/>
      <c r="E23" s="107"/>
    </row>
    <row r="24" spans="2:5" ht="15">
      <c r="B24" s="126" t="s">
        <v>238</v>
      </c>
      <c r="C24" s="705">
        <f>IF(Entrada!D16="Sistema Fotovoltaico","",IF(Entrada!D115-'F2'!B36&lt;&gt;0,"Difiere el Metrado de la Demanda",Entrada!D115))</f>
        <v>546</v>
      </c>
      <c r="D24" s="706"/>
      <c r="E24" s="240" t="str">
        <f>IF(Entrada!D16="Sistema Fotovoltaico","",IF(OR(C24="Difiere el Metrado de la Demanda",D24="Difiere el Metrado de la Demanda"),"ERROR","CORRECTO"))</f>
        <v>CORRECTO</v>
      </c>
    </row>
    <row r="25" spans="2:5" ht="15">
      <c r="B25" s="126" t="s">
        <v>246</v>
      </c>
      <c r="C25" s="707">
        <f>IF(Entrada!D16="Sistema Fotovoltaico","",IF(AND(Entrada!D116&gt;'F2'!B54*0.85,Entrada!D116&lt;'F2'!B54*1.15),Entrada!D116,"Difiere el Metrado de la Demanda"))</f>
        <v>162</v>
      </c>
      <c r="D25" s="690"/>
      <c r="E25" s="242" t="str">
        <f>IF(Entrada!D16="Sistema Fotovoltaico","",IF(OR(C25="Difiere el Metrado de la Demanda",D25="Difiere el Metrado de la Demanda"),"ERROR","CORRECTO"))</f>
        <v>CORRECTO</v>
      </c>
    </row>
    <row r="26" spans="2:5" ht="15">
      <c r="B26" s="126" t="s">
        <v>245</v>
      </c>
      <c r="C26" s="707">
        <f>IF(Entrada!D117="","",(IF(Entrada!D16="Sistema Fotovoltaico","",'F5-SC'!C15/Entrada!D117/Entrada!D91)))</f>
        <v>6009.946771611527</v>
      </c>
      <c r="D26" s="690"/>
      <c r="E26" s="709"/>
    </row>
    <row r="27" spans="2:5" ht="15">
      <c r="B27" s="126" t="s">
        <v>243</v>
      </c>
      <c r="C27" s="707">
        <f>IF(Entrada!D16="Sistema Fotovoltaico","",'F5-SC'!C22/'F2'!B73/Entrada!D91)</f>
        <v>232.97374450549452</v>
      </c>
      <c r="D27" s="690"/>
      <c r="E27" s="709"/>
    </row>
    <row r="28" spans="2:5" ht="15">
      <c r="B28" s="126" t="s">
        <v>244</v>
      </c>
      <c r="C28" s="707">
        <f>IF(Entrada!D16="Sistema Fotovoltaico","",'F5-SC'!C29/'F2'!B73/Entrada!D91)</f>
        <v>630.8067567307694</v>
      </c>
      <c r="D28" s="710"/>
      <c r="E28" s="242" t="str">
        <f>IF(Entrada!D16="Sistema Fotovoltaico","",IF(AND(C28&gt;400,C28&lt;1000),"CORRECTO","OPTMIZAR EL PIP"))</f>
        <v>CORRECTO</v>
      </c>
    </row>
    <row r="29" spans="2:5" ht="15">
      <c r="B29" s="126" t="s">
        <v>394</v>
      </c>
      <c r="C29" s="707">
        <f>IF(Entrada!D16="Sistema Fotovoltaico","",'F5-SC'!C45/'F2'!B73/Entrada!D91)</f>
        <v>1900.2446823150185</v>
      </c>
      <c r="D29" s="710"/>
      <c r="E29" s="242" t="str">
        <f>IF(Entrada!D16="Sistema Fotovoltaico","",IF(AND(C29&gt;500,C29&lt;=2150),"CORRECTO","OPTMIZAR EL PIP"))</f>
        <v>CORRECTO</v>
      </c>
    </row>
    <row r="30" spans="2:5" ht="15">
      <c r="B30" s="126" t="s">
        <v>433</v>
      </c>
      <c r="C30" s="708"/>
      <c r="D30" s="707">
        <f>IF(Entrada!D16="Sistema Convencional","",IF(Entrada!J118-'F2'!B36&lt;&gt;0,"Difiere el Metrado de la Demanda",'F2'!B36))</f>
        <v>546</v>
      </c>
      <c r="E30" s="242" t="str">
        <f>IF(Entrada!D16="Sistema Convencional","",IF(D30="Difiere el Metrado de la Demanda","ERROR","CORRECTO"))</f>
        <v>CORRECTO</v>
      </c>
    </row>
    <row r="31" spans="2:5" ht="15">
      <c r="B31" s="126" t="s">
        <v>393</v>
      </c>
      <c r="C31" s="708"/>
      <c r="D31" s="707">
        <f>IF(Entrada!D16="Sistema Convencional","",'F5A-SF'!D53/'F2'!B36/TCDF)</f>
        <v>3715.6223056240387</v>
      </c>
      <c r="E31" s="709"/>
    </row>
    <row r="32" spans="2:5" ht="15.75" thickBot="1">
      <c r="B32" s="691"/>
      <c r="C32" s="711"/>
      <c r="D32" s="692"/>
      <c r="E32" s="712"/>
    </row>
  </sheetData>
  <sheetProtection password="FFA0" sheet="1" objects="1"/>
  <mergeCells count="6">
    <mergeCell ref="B3:E3"/>
    <mergeCell ref="C9:D9"/>
    <mergeCell ref="C10:D10"/>
    <mergeCell ref="C7:D7"/>
    <mergeCell ref="C8:D8"/>
    <mergeCell ref="C4:E4"/>
  </mergeCells>
  <conditionalFormatting sqref="E13:E14 E7:E10 E17:E18 E24:E25">
    <cfRule type="containsText" priority="109" dxfId="32" operator="containsText" stopIfTrue="1" text="OFERTA INSUFICIENTE">
      <formula>NOT(ISERROR(SEARCH("OFERTA INSUFICIENTE",E7)))</formula>
    </cfRule>
  </conditionalFormatting>
  <conditionalFormatting sqref="E17:E18">
    <cfRule type="containsText" priority="105" dxfId="32" operator="containsText" stopIfTrue="1" text="PIP NO RENTABLE">
      <formula>NOT(ISERROR(SEARCH("PIP NO RENTABLE",E17)))</formula>
    </cfRule>
    <cfRule type="containsText" priority="107" dxfId="32" operator="containsText" stopIfTrue="1" text="OFERTA INSUFICIENTE">
      <formula>NOT(ISERROR(SEARCH("OFERTA INSUFICIENTE",E17)))</formula>
    </cfRule>
  </conditionalFormatting>
  <conditionalFormatting sqref="E21">
    <cfRule type="containsText" priority="101" dxfId="32" operator="containsText" stopIfTrue="1" text="NO SOSTENIBLE">
      <formula>NOT(ISERROR(SEARCH("NO SOSTENIBLE",E21)))</formula>
    </cfRule>
  </conditionalFormatting>
  <conditionalFormatting sqref="E24:E25 E28:E30">
    <cfRule type="containsText" priority="87" dxfId="32" operator="containsText" stopIfTrue="1" text="ERROR">
      <formula>NOT(ISERROR(SEARCH("ERROR",E24)))</formula>
    </cfRule>
    <cfRule type="containsText" priority="94" dxfId="32" operator="containsText" stopIfTrue="1" text="ERROR DE METRADO O DEMANDA">
      <formula>NOT(ISERROR(SEARCH("ERROR DE METRADO O DEMANDA",E24)))</formula>
    </cfRule>
    <cfRule type="containsText" priority="95" dxfId="32" operator="containsText" stopIfTrue="1" text="PIP NO SOSTENIBLE">
      <formula>NOT(ISERROR(SEARCH("PIP NO SOSTENIBLE",E24)))</formula>
    </cfRule>
    <cfRule type="containsText" priority="96" dxfId="32" operator="containsText" stopIfTrue="1" text="PIP NO RENTABLE">
      <formula>NOT(ISERROR(SEARCH("PIP NO RENTABLE",E24)))</formula>
    </cfRule>
    <cfRule type="containsText" priority="97" dxfId="32" operator="containsText" stopIfTrue="1" text="OFERTA INSUFICIENTE">
      <formula>NOT(ISERROR(SEARCH("OFERTA INSUFICIENTE",E24)))</formula>
    </cfRule>
  </conditionalFormatting>
  <conditionalFormatting sqref="E7:E9">
    <cfRule type="containsText" priority="86" dxfId="32" operator="containsText" stopIfTrue="1" text="ERROR:Crecimiento Muy Alto en Rural">
      <formula>NOT(ISERROR(SEARCH("ERROR:Crecimiento Muy Alto en Rural",E7)))</formula>
    </cfRule>
  </conditionalFormatting>
  <conditionalFormatting sqref="E10">
    <cfRule type="cellIs" priority="54" dxfId="32" operator="equal" stopIfTrue="1">
      <formula>"ERROR:Crecimiento Muy Alto"</formula>
    </cfRule>
    <cfRule type="containsText" priority="85" dxfId="32" operator="containsText" stopIfTrue="1" text="ERROR:Crecimiento Muy Alto en Rural">
      <formula>NOT(ISERROR(SEARCH("ERROR:Crecimiento Muy Alto en Rural",E10)))</formula>
    </cfRule>
  </conditionalFormatting>
  <conditionalFormatting sqref="E14">
    <cfRule type="containsText" priority="84" dxfId="32" operator="containsText" stopIfTrue="1" text="SALDO DE ENERGIA INSUFICIENTE">
      <formula>NOT(ISERROR(SEARCH("SALDO DE ENERGIA INSUFICIENTE",E14)))</formula>
    </cfRule>
  </conditionalFormatting>
  <conditionalFormatting sqref="C13:D13">
    <cfRule type="cellIs" priority="83" dxfId="32" operator="equal" stopIfTrue="1">
      <formula>"OFERTA INSUFICIENTE"</formula>
    </cfRule>
  </conditionalFormatting>
  <conditionalFormatting sqref="E13:E14 E7:E9 E17:E18 E24:E25 E28:E30">
    <cfRule type="cellIs" priority="81" dxfId="32" operator="equal" stopIfTrue="1">
      <formula>"ERROR"</formula>
    </cfRule>
    <cfRule type="containsText" priority="82" dxfId="32" operator="containsText" stopIfTrue="1" text="ERROR:Crecimiento Muy Alto en Rural">
      <formula>NOT(ISERROR(SEARCH("ERROR:Crecimiento Muy Alto en Rural",E7)))</formula>
    </cfRule>
  </conditionalFormatting>
  <conditionalFormatting sqref="E8">
    <cfRule type="cellIs" priority="71" dxfId="32" operator="equal" stopIfTrue="1">
      <formula>"ERROR:Superior el 100%"</formula>
    </cfRule>
    <cfRule type="containsText" priority="76" dxfId="32" operator="containsText" stopIfTrue="1" text="OFERTA INSUFICIENTE">
      <formula>NOT(ISERROR(SEARCH("OFERTA INSUFICIENTE",E8)))</formula>
    </cfRule>
  </conditionalFormatting>
  <conditionalFormatting sqref="E7:E9">
    <cfRule type="cellIs" priority="64" dxfId="32" operator="equal" stopIfTrue="1">
      <formula>"ERROR"</formula>
    </cfRule>
    <cfRule type="containsText" priority="70" dxfId="32" operator="containsText" stopIfTrue="1" text="OFERTA INSUFICIENTE">
      <formula>NOT(ISERROR(SEARCH("OFERTA INSUFICIENTE",E7)))</formula>
    </cfRule>
  </conditionalFormatting>
  <conditionalFormatting sqref="C24:C25 D30">
    <cfRule type="cellIs" priority="31" dxfId="32" operator="equal" stopIfTrue="1">
      <formula>"Difiere el Metrado de la Demanda"</formula>
    </cfRule>
  </conditionalFormatting>
  <conditionalFormatting sqref="E28:E30">
    <cfRule type="cellIs" priority="18" dxfId="32" operator="equal" stopIfTrue="1">
      <formula>"OPTMIZAR EL PIP"</formula>
    </cfRule>
    <cfRule type="containsText" priority="26" dxfId="32" operator="containsText" stopIfTrue="1" text="OFERTA INSUFICIENTE">
      <formula>NOT(ISERROR(SEARCH("OFERTA INSUFICIENTE",E28)))</formula>
    </cfRule>
  </conditionalFormatting>
  <conditionalFormatting sqref="C21">
    <cfRule type="cellIs" priority="1" dxfId="9" operator="lessThan" stopIfTrue="1">
      <formula>1</formula>
    </cfRule>
  </conditionalFormatting>
  <conditionalFormatting sqref="D21">
    <cfRule type="cellIs" priority="3" dxfId="9" operator="lessThan" stopIfTrue="1">
      <formula>1</formula>
    </cfRule>
  </conditionalFormatting>
  <dataValidations count="1">
    <dataValidation type="decimal" operator="greaterThan" allowBlank="1" showInputMessage="1" showErrorMessage="1" errorTitle="Habitantes por Hohar" error="El valor debe ser mayor que 0" sqref="C21:D21">
      <formula1>0</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Hoja18">
    <pageSetUpPr fitToPage="1"/>
  </sheetPr>
  <dimension ref="A1:X55"/>
  <sheetViews>
    <sheetView showGridLines="0" showZeros="0" zoomScaleSheetLayoutView="100" zoomScalePageLayoutView="0" workbookViewId="0" topLeftCell="A1">
      <pane ySplit="3" topLeftCell="A4" activePane="bottomLeft" state="frozen"/>
      <selection pane="topLeft" activeCell="K132" sqref="K132"/>
      <selection pane="bottomLeft" activeCell="L48" sqref="L48"/>
    </sheetView>
  </sheetViews>
  <sheetFormatPr defaultColWidth="11.421875" defaultRowHeight="15"/>
  <cols>
    <col min="1" max="1" width="6.140625" style="234" customWidth="1"/>
    <col min="2" max="2" width="38.28125" style="234" customWidth="1"/>
    <col min="3" max="3" width="10.421875" style="234" customWidth="1"/>
    <col min="4" max="9" width="8.7109375" style="234" customWidth="1"/>
    <col min="10" max="10" width="10.140625" style="234" customWidth="1"/>
    <col min="11" max="23" width="8.7109375" style="234" customWidth="1"/>
    <col min="24" max="24" width="11.140625" style="234" customWidth="1"/>
    <col min="25" max="16384" width="11.421875" style="234" customWidth="1"/>
  </cols>
  <sheetData>
    <row r="1" spans="1:24" ht="27.75" customHeight="1" thickBot="1">
      <c r="A1" s="440"/>
      <c r="B1" s="440"/>
      <c r="C1" s="440"/>
      <c r="D1" s="440"/>
      <c r="E1" s="440"/>
      <c r="F1" s="440"/>
      <c r="G1" s="440"/>
      <c r="H1" s="440"/>
      <c r="I1" s="440"/>
      <c r="J1" s="440"/>
      <c r="K1" s="440"/>
      <c r="L1" s="440"/>
      <c r="M1" s="440"/>
      <c r="N1" s="440"/>
      <c r="O1" s="440"/>
      <c r="P1" s="440"/>
      <c r="Q1" s="440"/>
      <c r="R1" s="440"/>
      <c r="S1" s="440"/>
      <c r="T1" s="440"/>
      <c r="U1" s="440"/>
      <c r="V1" s="440"/>
      <c r="W1" s="440"/>
      <c r="X1" s="440"/>
    </row>
    <row r="2" spans="1:24" ht="15.75">
      <c r="A2" s="876" t="s">
        <v>169</v>
      </c>
      <c r="B2" s="877"/>
      <c r="C2" s="877"/>
      <c r="D2" s="877"/>
      <c r="E2" s="877"/>
      <c r="F2" s="877"/>
      <c r="G2" s="877"/>
      <c r="H2" s="877"/>
      <c r="I2" s="877"/>
      <c r="J2" s="877"/>
      <c r="K2" s="877"/>
      <c r="L2" s="877"/>
      <c r="M2" s="877"/>
      <c r="N2" s="877"/>
      <c r="O2" s="877"/>
      <c r="P2" s="877"/>
      <c r="Q2" s="877"/>
      <c r="R2" s="877"/>
      <c r="S2" s="877"/>
      <c r="T2" s="877"/>
      <c r="U2" s="877"/>
      <c r="V2" s="877"/>
      <c r="W2" s="878"/>
      <c r="X2" s="440"/>
    </row>
    <row r="3" spans="1:24" ht="15.75">
      <c r="A3" s="879" t="s">
        <v>30</v>
      </c>
      <c r="B3" s="880"/>
      <c r="C3" s="880"/>
      <c r="D3" s="880"/>
      <c r="E3" s="880"/>
      <c r="F3" s="880"/>
      <c r="G3" s="880"/>
      <c r="H3" s="880"/>
      <c r="I3" s="880"/>
      <c r="J3" s="880"/>
      <c r="K3" s="880"/>
      <c r="L3" s="880"/>
      <c r="M3" s="880"/>
      <c r="N3" s="880"/>
      <c r="O3" s="880"/>
      <c r="P3" s="880"/>
      <c r="Q3" s="880"/>
      <c r="R3" s="880"/>
      <c r="S3" s="880"/>
      <c r="T3" s="880"/>
      <c r="U3" s="880"/>
      <c r="V3" s="880"/>
      <c r="W3" s="881"/>
      <c r="X3" s="440"/>
    </row>
    <row r="4" spans="1:24" ht="15">
      <c r="A4" s="441"/>
      <c r="B4" s="442"/>
      <c r="C4" s="442"/>
      <c r="D4" s="442"/>
      <c r="E4" s="442"/>
      <c r="F4" s="442"/>
      <c r="G4" s="442"/>
      <c r="H4" s="442"/>
      <c r="I4" s="442"/>
      <c r="J4" s="442"/>
      <c r="K4" s="442"/>
      <c r="L4" s="442"/>
      <c r="M4" s="442"/>
      <c r="N4" s="442"/>
      <c r="O4" s="442"/>
      <c r="P4" s="442"/>
      <c r="Q4" s="442"/>
      <c r="R4" s="442"/>
      <c r="S4" s="442"/>
      <c r="T4" s="442"/>
      <c r="U4" s="442"/>
      <c r="V4" s="442"/>
      <c r="W4" s="443"/>
      <c r="X4" s="440"/>
    </row>
    <row r="5" spans="1:24" ht="15">
      <c r="A5" s="444">
        <v>1</v>
      </c>
      <c r="B5" s="394" t="s">
        <v>17</v>
      </c>
      <c r="C5" s="394"/>
      <c r="D5" s="394"/>
      <c r="E5" s="394"/>
      <c r="F5" s="394"/>
      <c r="G5" s="394"/>
      <c r="H5" s="394"/>
      <c r="I5" s="394"/>
      <c r="J5" s="394"/>
      <c r="K5" s="394"/>
      <c r="L5" s="394"/>
      <c r="M5" s="394"/>
      <c r="N5" s="394"/>
      <c r="O5" s="394"/>
      <c r="P5" s="394"/>
      <c r="Q5" s="394"/>
      <c r="R5" s="394"/>
      <c r="S5" s="394"/>
      <c r="T5" s="394"/>
      <c r="U5" s="394"/>
      <c r="V5" s="394"/>
      <c r="W5" s="396"/>
      <c r="X5" s="440"/>
    </row>
    <row r="6" spans="1:24" ht="4.5" customHeight="1">
      <c r="A6" s="445"/>
      <c r="B6" s="24"/>
      <c r="C6" s="24"/>
      <c r="D6" s="24"/>
      <c r="E6" s="24"/>
      <c r="F6" s="24"/>
      <c r="G6" s="24"/>
      <c r="H6" s="24"/>
      <c r="I6" s="24"/>
      <c r="J6" s="24"/>
      <c r="K6" s="24"/>
      <c r="L6" s="24"/>
      <c r="M6" s="24"/>
      <c r="N6" s="24"/>
      <c r="O6" s="24"/>
      <c r="P6" s="24"/>
      <c r="Q6" s="24"/>
      <c r="R6" s="24"/>
      <c r="S6" s="24"/>
      <c r="T6" s="24"/>
      <c r="U6" s="24"/>
      <c r="V6" s="24"/>
      <c r="W6" s="392"/>
      <c r="X6" s="440"/>
    </row>
    <row r="7" spans="1:24" ht="15">
      <c r="A7" s="445"/>
      <c r="B7" s="902" t="str">
        <f>IF(RESULTADOS!C4="Sistema Convencional",Entrada!A135,Entrada!G135)</f>
        <v>Empresa de Servicio Público de Electricidad - HIDRANDINA S.A.</v>
      </c>
      <c r="C7" s="902"/>
      <c r="D7" s="902"/>
      <c r="E7" s="902"/>
      <c r="F7" s="902"/>
      <c r="G7" s="902"/>
      <c r="H7" s="902"/>
      <c r="I7" s="902"/>
      <c r="J7" s="902"/>
      <c r="K7" s="902"/>
      <c r="L7" s="902"/>
      <c r="M7" s="902"/>
      <c r="N7" s="902"/>
      <c r="O7" s="902"/>
      <c r="P7" s="902"/>
      <c r="Q7" s="902"/>
      <c r="R7" s="902"/>
      <c r="S7" s="902"/>
      <c r="T7" s="902"/>
      <c r="U7" s="902"/>
      <c r="V7" s="902"/>
      <c r="W7" s="903"/>
      <c r="X7" s="440"/>
    </row>
    <row r="8" spans="1:24" ht="4.5" customHeight="1">
      <c r="A8" s="445"/>
      <c r="B8" s="24"/>
      <c r="C8" s="24"/>
      <c r="D8" s="24"/>
      <c r="E8" s="24"/>
      <c r="F8" s="24"/>
      <c r="G8" s="24"/>
      <c r="H8" s="24"/>
      <c r="I8" s="24"/>
      <c r="J8" s="24"/>
      <c r="K8" s="24"/>
      <c r="L8" s="24"/>
      <c r="M8" s="24"/>
      <c r="N8" s="24"/>
      <c r="O8" s="24"/>
      <c r="P8" s="24"/>
      <c r="Q8" s="24"/>
      <c r="R8" s="24"/>
      <c r="S8" s="24"/>
      <c r="T8" s="24"/>
      <c r="U8" s="24"/>
      <c r="V8" s="24"/>
      <c r="W8" s="392"/>
      <c r="X8" s="440"/>
    </row>
    <row r="9" spans="1:24" ht="15">
      <c r="A9" s="444">
        <v>2</v>
      </c>
      <c r="B9" s="394" t="s">
        <v>18</v>
      </c>
      <c r="C9" s="394"/>
      <c r="D9" s="394"/>
      <c r="E9" s="394"/>
      <c r="F9" s="394"/>
      <c r="G9" s="394"/>
      <c r="H9" s="394"/>
      <c r="I9" s="394"/>
      <c r="J9" s="394"/>
      <c r="K9" s="394"/>
      <c r="L9" s="394"/>
      <c r="M9" s="394"/>
      <c r="N9" s="394"/>
      <c r="O9" s="394"/>
      <c r="P9" s="394"/>
      <c r="Q9" s="394"/>
      <c r="R9" s="394"/>
      <c r="S9" s="394"/>
      <c r="T9" s="394"/>
      <c r="U9" s="394"/>
      <c r="V9" s="394"/>
      <c r="W9" s="396"/>
      <c r="X9" s="440"/>
    </row>
    <row r="10" spans="1:24" ht="5.25" customHeight="1">
      <c r="A10" s="445"/>
      <c r="B10" s="24"/>
      <c r="C10" s="24"/>
      <c r="D10" s="24"/>
      <c r="E10" s="24"/>
      <c r="F10" s="24"/>
      <c r="G10" s="24"/>
      <c r="H10" s="24"/>
      <c r="I10" s="24"/>
      <c r="J10" s="24"/>
      <c r="K10" s="24"/>
      <c r="L10" s="24"/>
      <c r="M10" s="24"/>
      <c r="N10" s="24"/>
      <c r="O10" s="24"/>
      <c r="P10" s="24"/>
      <c r="Q10" s="24"/>
      <c r="R10" s="24"/>
      <c r="S10" s="24"/>
      <c r="T10" s="24"/>
      <c r="U10" s="24"/>
      <c r="V10" s="24"/>
      <c r="W10" s="392"/>
      <c r="X10" s="440"/>
    </row>
    <row r="11" spans="1:24" ht="15">
      <c r="A11" s="445"/>
      <c r="B11" s="902" t="str">
        <f>IF(RESULTADOS!C4="Sistema Convencional",Entrada!A137,Entrada!G137)</f>
        <v>Empresa de Servicio Público de Electricidad - HIDRANDINA S.A.</v>
      </c>
      <c r="C11" s="902"/>
      <c r="D11" s="902"/>
      <c r="E11" s="902"/>
      <c r="F11" s="902"/>
      <c r="G11" s="902"/>
      <c r="H11" s="902"/>
      <c r="I11" s="902"/>
      <c r="J11" s="902"/>
      <c r="K11" s="902"/>
      <c r="L11" s="902"/>
      <c r="M11" s="902"/>
      <c r="N11" s="902"/>
      <c r="O11" s="902"/>
      <c r="P11" s="902"/>
      <c r="Q11" s="902"/>
      <c r="R11" s="902"/>
      <c r="S11" s="902"/>
      <c r="T11" s="902"/>
      <c r="U11" s="902"/>
      <c r="V11" s="902"/>
      <c r="W11" s="903"/>
      <c r="X11" s="440"/>
    </row>
    <row r="12" spans="1:24" ht="6.75" customHeight="1">
      <c r="A12" s="445"/>
      <c r="B12" s="24"/>
      <c r="C12" s="24"/>
      <c r="D12" s="24"/>
      <c r="E12" s="24"/>
      <c r="F12" s="24"/>
      <c r="G12" s="24"/>
      <c r="H12" s="24"/>
      <c r="I12" s="24"/>
      <c r="J12" s="24"/>
      <c r="K12" s="24"/>
      <c r="L12" s="24"/>
      <c r="M12" s="24"/>
      <c r="N12" s="24"/>
      <c r="O12" s="24"/>
      <c r="P12" s="24"/>
      <c r="Q12" s="24"/>
      <c r="R12" s="24"/>
      <c r="S12" s="24"/>
      <c r="T12" s="24"/>
      <c r="U12" s="24"/>
      <c r="V12" s="24"/>
      <c r="W12" s="392"/>
      <c r="X12" s="440"/>
    </row>
    <row r="13" spans="1:24" ht="15">
      <c r="A13" s="444">
        <v>3</v>
      </c>
      <c r="B13" s="394" t="s">
        <v>165</v>
      </c>
      <c r="C13" s="394"/>
      <c r="D13" s="394"/>
      <c r="E13" s="394"/>
      <c r="F13" s="394"/>
      <c r="G13" s="394"/>
      <c r="H13" s="394"/>
      <c r="I13" s="394"/>
      <c r="J13" s="394"/>
      <c r="K13" s="394"/>
      <c r="L13" s="394"/>
      <c r="M13" s="394"/>
      <c r="N13" s="394"/>
      <c r="O13" s="394"/>
      <c r="P13" s="394"/>
      <c r="Q13" s="394"/>
      <c r="R13" s="394"/>
      <c r="S13" s="394"/>
      <c r="T13" s="394"/>
      <c r="U13" s="394"/>
      <c r="V13" s="394"/>
      <c r="W13" s="396"/>
      <c r="X13" s="440"/>
    </row>
    <row r="14" spans="1:24" ht="6.75" customHeight="1">
      <c r="A14" s="445"/>
      <c r="B14" s="24"/>
      <c r="C14" s="24"/>
      <c r="D14" s="24"/>
      <c r="E14" s="24"/>
      <c r="F14" s="24"/>
      <c r="G14" s="24"/>
      <c r="H14" s="24"/>
      <c r="I14" s="24"/>
      <c r="J14" s="24"/>
      <c r="K14" s="24"/>
      <c r="L14" s="24"/>
      <c r="M14" s="24"/>
      <c r="N14" s="24"/>
      <c r="O14" s="24"/>
      <c r="P14" s="24"/>
      <c r="Q14" s="24"/>
      <c r="R14" s="24"/>
      <c r="S14" s="24"/>
      <c r="T14" s="24"/>
      <c r="U14" s="24"/>
      <c r="V14" s="24"/>
      <c r="W14" s="392"/>
      <c r="X14" s="440"/>
    </row>
    <row r="15" spans="1:24" ht="15">
      <c r="A15" s="445"/>
      <c r="B15" s="904" t="str">
        <f>IF(RESULTADOS!C4="Sistema Convencional",Entrada!A139,Entrada!G139)</f>
        <v>Los costos de operación y mantenimiento serán cubiertos con recursos propios</v>
      </c>
      <c r="C15" s="904"/>
      <c r="D15" s="904"/>
      <c r="E15" s="904"/>
      <c r="F15" s="904"/>
      <c r="G15" s="904"/>
      <c r="H15" s="904"/>
      <c r="I15" s="904"/>
      <c r="J15" s="904"/>
      <c r="K15" s="904"/>
      <c r="L15" s="904"/>
      <c r="M15" s="904"/>
      <c r="N15" s="904"/>
      <c r="O15" s="904"/>
      <c r="P15" s="904"/>
      <c r="Q15" s="904"/>
      <c r="R15" s="904"/>
      <c r="S15" s="904"/>
      <c r="T15" s="904"/>
      <c r="U15" s="904"/>
      <c r="V15" s="904"/>
      <c r="W15" s="905"/>
      <c r="X15" s="440"/>
    </row>
    <row r="16" spans="1:24" ht="6.75" customHeight="1">
      <c r="A16" s="445"/>
      <c r="B16" s="24"/>
      <c r="C16" s="24"/>
      <c r="D16" s="24"/>
      <c r="E16" s="24"/>
      <c r="F16" s="24"/>
      <c r="G16" s="24"/>
      <c r="H16" s="24"/>
      <c r="I16" s="24"/>
      <c r="J16" s="24"/>
      <c r="K16" s="24"/>
      <c r="L16" s="24"/>
      <c r="M16" s="24"/>
      <c r="N16" s="24"/>
      <c r="O16" s="24"/>
      <c r="P16" s="24"/>
      <c r="Q16" s="24"/>
      <c r="R16" s="24"/>
      <c r="S16" s="24"/>
      <c r="T16" s="24"/>
      <c r="U16" s="24"/>
      <c r="V16" s="24"/>
      <c r="W16" s="392"/>
      <c r="X16" s="440"/>
    </row>
    <row r="17" spans="1:24" ht="15">
      <c r="A17" s="444">
        <v>4</v>
      </c>
      <c r="B17" s="394" t="s">
        <v>19</v>
      </c>
      <c r="C17" s="394"/>
      <c r="D17" s="394"/>
      <c r="E17" s="394"/>
      <c r="F17" s="394"/>
      <c r="G17" s="394"/>
      <c r="H17" s="394"/>
      <c r="I17" s="394"/>
      <c r="J17" s="394"/>
      <c r="K17" s="394"/>
      <c r="L17" s="394"/>
      <c r="M17" s="394"/>
      <c r="N17" s="394"/>
      <c r="O17" s="394"/>
      <c r="P17" s="394"/>
      <c r="Q17" s="394"/>
      <c r="R17" s="394"/>
      <c r="S17" s="394"/>
      <c r="T17" s="394"/>
      <c r="U17" s="394"/>
      <c r="V17" s="394"/>
      <c r="W17" s="396"/>
      <c r="X17" s="440"/>
    </row>
    <row r="18" spans="1:24" ht="15">
      <c r="A18" s="444"/>
      <c r="B18" s="394"/>
      <c r="C18" s="394"/>
      <c r="D18" s="394"/>
      <c r="E18" s="394"/>
      <c r="F18" s="394"/>
      <c r="G18" s="394"/>
      <c r="H18" s="394"/>
      <c r="I18" s="394"/>
      <c r="J18" s="394"/>
      <c r="K18" s="394"/>
      <c r="L18" s="394"/>
      <c r="M18" s="394"/>
      <c r="N18" s="394"/>
      <c r="O18" s="394"/>
      <c r="P18" s="394"/>
      <c r="Q18" s="394"/>
      <c r="R18" s="394"/>
      <c r="S18" s="394"/>
      <c r="T18" s="394"/>
      <c r="U18" s="394"/>
      <c r="V18" s="394"/>
      <c r="W18" s="396"/>
      <c r="X18" s="440"/>
    </row>
    <row r="19" spans="1:24" ht="15">
      <c r="A19" s="446" t="s">
        <v>362</v>
      </c>
      <c r="B19" s="394"/>
      <c r="C19" s="24"/>
      <c r="D19" s="24"/>
      <c r="E19" s="24"/>
      <c r="F19" s="24"/>
      <c r="G19" s="24"/>
      <c r="H19" s="24"/>
      <c r="I19" s="24"/>
      <c r="J19" s="24"/>
      <c r="K19" s="24"/>
      <c r="L19" s="24"/>
      <c r="M19" s="24"/>
      <c r="N19" s="24"/>
      <c r="O19" s="24"/>
      <c r="P19" s="24"/>
      <c r="Q19" s="24"/>
      <c r="R19" s="24"/>
      <c r="S19" s="24"/>
      <c r="T19" s="24"/>
      <c r="U19" s="24"/>
      <c r="V19" s="24"/>
      <c r="W19" s="392"/>
      <c r="X19" s="440"/>
    </row>
    <row r="20" spans="1:24" ht="8.25" customHeight="1">
      <c r="A20" s="446"/>
      <c r="B20" s="394"/>
      <c r="C20" s="24"/>
      <c r="D20" s="24"/>
      <c r="E20" s="24"/>
      <c r="F20" s="24"/>
      <c r="G20" s="24"/>
      <c r="H20" s="24"/>
      <c r="I20" s="24"/>
      <c r="J20" s="24"/>
      <c r="K20" s="24"/>
      <c r="L20" s="24"/>
      <c r="M20" s="24"/>
      <c r="N20" s="24"/>
      <c r="O20" s="24"/>
      <c r="P20" s="24"/>
      <c r="Q20" s="24"/>
      <c r="R20" s="24"/>
      <c r="S20" s="24"/>
      <c r="T20" s="24"/>
      <c r="U20" s="24"/>
      <c r="V20" s="24"/>
      <c r="W20" s="392"/>
      <c r="X20" s="440"/>
    </row>
    <row r="21" spans="1:24" ht="15">
      <c r="A21" s="852" t="s">
        <v>92</v>
      </c>
      <c r="B21" s="898"/>
      <c r="C21" s="898"/>
      <c r="D21" s="898"/>
      <c r="E21" s="898"/>
      <c r="F21" s="898"/>
      <c r="G21" s="898"/>
      <c r="H21" s="898"/>
      <c r="I21" s="898"/>
      <c r="J21" s="898"/>
      <c r="K21" s="898"/>
      <c r="L21" s="898"/>
      <c r="M21" s="898"/>
      <c r="N21" s="898"/>
      <c r="O21" s="898"/>
      <c r="P21" s="898"/>
      <c r="Q21" s="898"/>
      <c r="R21" s="898"/>
      <c r="S21" s="898"/>
      <c r="T21" s="898"/>
      <c r="U21" s="898"/>
      <c r="V21" s="898"/>
      <c r="W21" s="899"/>
      <c r="X21" s="440"/>
    </row>
    <row r="22" spans="1:24" ht="15">
      <c r="A22" s="893" t="s">
        <v>117</v>
      </c>
      <c r="B22" s="894"/>
      <c r="C22" s="77">
        <v>0</v>
      </c>
      <c r="D22" s="78">
        <v>1</v>
      </c>
      <c r="E22" s="78">
        <v>2</v>
      </c>
      <c r="F22" s="78">
        <v>3</v>
      </c>
      <c r="G22" s="78">
        <v>4</v>
      </c>
      <c r="H22" s="78">
        <v>5</v>
      </c>
      <c r="I22" s="78">
        <v>6</v>
      </c>
      <c r="J22" s="78">
        <v>7</v>
      </c>
      <c r="K22" s="78">
        <v>8</v>
      </c>
      <c r="L22" s="78">
        <v>9</v>
      </c>
      <c r="M22" s="78">
        <v>10</v>
      </c>
      <c r="N22" s="78">
        <v>11</v>
      </c>
      <c r="O22" s="78">
        <v>12</v>
      </c>
      <c r="P22" s="78">
        <v>13</v>
      </c>
      <c r="Q22" s="78">
        <v>14</v>
      </c>
      <c r="R22" s="78">
        <v>15</v>
      </c>
      <c r="S22" s="78">
        <v>16</v>
      </c>
      <c r="T22" s="78">
        <v>17</v>
      </c>
      <c r="U22" s="78">
        <v>18</v>
      </c>
      <c r="V22" s="78">
        <v>19</v>
      </c>
      <c r="W22" s="157">
        <v>20</v>
      </c>
      <c r="X22" s="440"/>
    </row>
    <row r="23" spans="1:24" ht="15">
      <c r="A23" s="895"/>
      <c r="B23" s="896"/>
      <c r="C23" s="55">
        <f>'F2'!C8</f>
        <v>2011</v>
      </c>
      <c r="D23" s="56">
        <f>+C23+1</f>
        <v>2012</v>
      </c>
      <c r="E23" s="56">
        <f aca="true" t="shared" si="0" ref="E23:W23">+D23+1</f>
        <v>2013</v>
      </c>
      <c r="F23" s="56">
        <f t="shared" si="0"/>
        <v>2014</v>
      </c>
      <c r="G23" s="56">
        <f t="shared" si="0"/>
        <v>2015</v>
      </c>
      <c r="H23" s="56">
        <f t="shared" si="0"/>
        <v>2016</v>
      </c>
      <c r="I23" s="56">
        <f t="shared" si="0"/>
        <v>2017</v>
      </c>
      <c r="J23" s="56">
        <f t="shared" si="0"/>
        <v>2018</v>
      </c>
      <c r="K23" s="56">
        <f t="shared" si="0"/>
        <v>2019</v>
      </c>
      <c r="L23" s="56">
        <f t="shared" si="0"/>
        <v>2020</v>
      </c>
      <c r="M23" s="56">
        <f t="shared" si="0"/>
        <v>2021</v>
      </c>
      <c r="N23" s="56">
        <f t="shared" si="0"/>
        <v>2022</v>
      </c>
      <c r="O23" s="56">
        <f t="shared" si="0"/>
        <v>2023</v>
      </c>
      <c r="P23" s="56">
        <f t="shared" si="0"/>
        <v>2024</v>
      </c>
      <c r="Q23" s="56">
        <f t="shared" si="0"/>
        <v>2025</v>
      </c>
      <c r="R23" s="56">
        <f t="shared" si="0"/>
        <v>2026</v>
      </c>
      <c r="S23" s="56">
        <f t="shared" si="0"/>
        <v>2027</v>
      </c>
      <c r="T23" s="56">
        <f t="shared" si="0"/>
        <v>2028</v>
      </c>
      <c r="U23" s="56">
        <f t="shared" si="0"/>
        <v>2029</v>
      </c>
      <c r="V23" s="56">
        <f t="shared" si="0"/>
        <v>2030</v>
      </c>
      <c r="W23" s="138">
        <f t="shared" si="0"/>
        <v>2031</v>
      </c>
      <c r="X23" s="440"/>
    </row>
    <row r="24" spans="1:24" ht="15">
      <c r="A24" s="447"/>
      <c r="B24" s="448" t="s">
        <v>163</v>
      </c>
      <c r="C24" s="449"/>
      <c r="D24" s="230">
        <f>'F5-SC'!D47/1.18</f>
        <v>50140.72584020365</v>
      </c>
      <c r="E24" s="230">
        <f>'F5-SC'!E47/1.18</f>
        <v>51058.98786704818</v>
      </c>
      <c r="F24" s="230">
        <f>'F5-SC'!F47/1.18</f>
        <v>51851.70522131231</v>
      </c>
      <c r="G24" s="230">
        <f>'F5-SC'!G47/1.18</f>
        <v>52788.55516042165</v>
      </c>
      <c r="H24" s="230">
        <f>'F5-SC'!H47/1.18</f>
        <v>53699.098111152285</v>
      </c>
      <c r="I24" s="230">
        <f>'F5-SC'!I47/1.18</f>
        <v>54654.368010643535</v>
      </c>
      <c r="J24" s="230">
        <f>'F5-SC'!J47/1.18</f>
        <v>55619.53049297392</v>
      </c>
      <c r="K24" s="230">
        <f>'F5-SC'!K47/1.18</f>
        <v>56594.685677575035</v>
      </c>
      <c r="L24" s="230">
        <f>'F5-SC'!L47/1.18</f>
        <v>57579.93461844648</v>
      </c>
      <c r="M24" s="230">
        <f>'F5-SC'!M47/1.18</f>
        <v>58575.37931246513</v>
      </c>
      <c r="N24" s="230">
        <f>'F5-SC'!N47/1.18</f>
        <v>59581.12270776597</v>
      </c>
      <c r="O24" s="230">
        <f>'F5-SC'!O47/1.18</f>
        <v>60597.26871219507</v>
      </c>
      <c r="P24" s="230">
        <f>'F5-SC'!P47/1.18</f>
        <v>61623.92220183532</v>
      </c>
      <c r="Q24" s="230">
        <f>'F5-SC'!Q47/1.18</f>
        <v>62835.5694615623</v>
      </c>
      <c r="R24" s="230">
        <f>'F5-SC'!R47/1.18</f>
        <v>63883.556465889385</v>
      </c>
      <c r="S24" s="230">
        <f>'F5-SC'!S47/1.18</f>
        <v>65022.817479939644</v>
      </c>
      <c r="T24" s="230">
        <f>'F5-SC'!T47/1.18</f>
        <v>66093.15659431415</v>
      </c>
      <c r="U24" s="230">
        <f>'F5-SC'!U47/1.18</f>
        <v>67318.0410231046</v>
      </c>
      <c r="V24" s="230">
        <f>'F5-SC'!V47/1.18</f>
        <v>68493.40951801112</v>
      </c>
      <c r="W24" s="450">
        <f>'F5-SC'!W47/1.18</f>
        <v>69681.25659425925</v>
      </c>
      <c r="X24" s="440"/>
    </row>
    <row r="25" spans="1:24" ht="15">
      <c r="A25" s="451"/>
      <c r="B25" s="448" t="s">
        <v>164</v>
      </c>
      <c r="C25" s="449"/>
      <c r="D25" s="230">
        <f>'F5-SC'!D48/1.18</f>
        <v>40127.51944995797</v>
      </c>
      <c r="E25" s="230">
        <f>'F5-SC'!E48/1.18</f>
        <v>40127.51944995797</v>
      </c>
      <c r="F25" s="230">
        <f>'F5-SC'!F48/1.18</f>
        <v>40127.51944995797</v>
      </c>
      <c r="G25" s="230">
        <f>'F5-SC'!G48/1.18</f>
        <v>40127.51944995797</v>
      </c>
      <c r="H25" s="230">
        <f>'F5-SC'!H48/1.18</f>
        <v>40127.51944995797</v>
      </c>
      <c r="I25" s="230">
        <f>'F5-SC'!I48/1.18</f>
        <v>40127.51944995797</v>
      </c>
      <c r="J25" s="230">
        <f>'F5-SC'!J48/1.18</f>
        <v>40127.51944995797</v>
      </c>
      <c r="K25" s="230">
        <f>'F5-SC'!K48/1.18</f>
        <v>40127.51944995797</v>
      </c>
      <c r="L25" s="230">
        <f>'F5-SC'!L48/1.18</f>
        <v>40127.51944995797</v>
      </c>
      <c r="M25" s="230">
        <f>'F5-SC'!M48/1.18</f>
        <v>40127.51944995797</v>
      </c>
      <c r="N25" s="230">
        <f>'F5-SC'!N48/1.18</f>
        <v>40127.51944995797</v>
      </c>
      <c r="O25" s="230">
        <f>'F5-SC'!O48/1.18</f>
        <v>40127.51944995797</v>
      </c>
      <c r="P25" s="230">
        <f>'F5-SC'!P48/1.18</f>
        <v>40127.51944995797</v>
      </c>
      <c r="Q25" s="230">
        <f>'F5-SC'!Q48/1.18</f>
        <v>40127.51944995797</v>
      </c>
      <c r="R25" s="230">
        <f>'F5-SC'!R48/1.18</f>
        <v>40127.51944995797</v>
      </c>
      <c r="S25" s="230">
        <f>'F5-SC'!S48/1.18</f>
        <v>40127.51944995797</v>
      </c>
      <c r="T25" s="230">
        <f>'F5-SC'!T48/1.18</f>
        <v>40127.51944995797</v>
      </c>
      <c r="U25" s="230">
        <f>'F5-SC'!U48/1.18</f>
        <v>40127.51944995797</v>
      </c>
      <c r="V25" s="230">
        <f>'F5-SC'!V48/1.18</f>
        <v>40127.51944995797</v>
      </c>
      <c r="W25" s="450">
        <f>'F5-SC'!W48/1.18</f>
        <v>40127.51944995797</v>
      </c>
      <c r="X25" s="440"/>
    </row>
    <row r="26" spans="1:24" ht="15">
      <c r="A26" s="451" t="s">
        <v>171</v>
      </c>
      <c r="B26" s="448" t="s">
        <v>167</v>
      </c>
      <c r="C26" s="449"/>
      <c r="D26" s="230">
        <f>'F5-SC'!D49</f>
        <v>0</v>
      </c>
      <c r="E26" s="230">
        <f>'F5-SC'!E49</f>
        <v>0</v>
      </c>
      <c r="F26" s="230">
        <f>'F5-SC'!F49</f>
        <v>0</v>
      </c>
      <c r="G26" s="230">
        <f>'F5-SC'!G49</f>
        <v>0</v>
      </c>
      <c r="H26" s="230">
        <f>'F5-SC'!H49</f>
        <v>0</v>
      </c>
      <c r="I26" s="230">
        <f>'F5-SC'!I49</f>
        <v>0</v>
      </c>
      <c r="J26" s="230">
        <f>'F5-SC'!J49</f>
        <v>0</v>
      </c>
      <c r="K26" s="230">
        <f>'F5-SC'!K49</f>
        <v>0</v>
      </c>
      <c r="L26" s="230">
        <f>'F5-SC'!L49</f>
        <v>0</v>
      </c>
      <c r="M26" s="230">
        <f>'F5-SC'!M49</f>
        <v>0</v>
      </c>
      <c r="N26" s="230">
        <f>'F5-SC'!N49</f>
        <v>0</v>
      </c>
      <c r="O26" s="230">
        <f>'F5-SC'!O49</f>
        <v>0</v>
      </c>
      <c r="P26" s="230">
        <f>'F5-SC'!P49</f>
        <v>0</v>
      </c>
      <c r="Q26" s="230">
        <f>'F5-SC'!Q49</f>
        <v>0</v>
      </c>
      <c r="R26" s="230">
        <f>'F5-SC'!R49</f>
        <v>0</v>
      </c>
      <c r="S26" s="230">
        <f>'F5-SC'!S49</f>
        <v>0</v>
      </c>
      <c r="T26" s="230">
        <f>'F5-SC'!T49</f>
        <v>0</v>
      </c>
      <c r="U26" s="230">
        <f>'F5-SC'!U49</f>
        <v>0</v>
      </c>
      <c r="V26" s="230">
        <f>'F5-SC'!V49</f>
        <v>0</v>
      </c>
      <c r="W26" s="450">
        <f>'F5-SC'!W49</f>
        <v>0</v>
      </c>
      <c r="X26" s="440"/>
    </row>
    <row r="27" spans="1:24" ht="15">
      <c r="A27" s="452" t="s">
        <v>39</v>
      </c>
      <c r="B27" s="449"/>
      <c r="C27" s="449"/>
      <c r="D27" s="453"/>
      <c r="E27" s="453"/>
      <c r="F27" s="453"/>
      <c r="G27" s="453"/>
      <c r="H27" s="453"/>
      <c r="I27" s="453"/>
      <c r="J27" s="453"/>
      <c r="K27" s="453"/>
      <c r="L27" s="453"/>
      <c r="M27" s="454"/>
      <c r="N27" s="454"/>
      <c r="O27" s="454"/>
      <c r="P27" s="454"/>
      <c r="Q27" s="454"/>
      <c r="R27" s="454"/>
      <c r="S27" s="454"/>
      <c r="T27" s="454"/>
      <c r="U27" s="454"/>
      <c r="V27" s="454"/>
      <c r="W27" s="455"/>
      <c r="X27" s="440"/>
    </row>
    <row r="28" spans="1:24" ht="15">
      <c r="A28" s="456">
        <f>'F5-SC'!D48/'F5-SC'!C13</f>
        <v>0.022</v>
      </c>
      <c r="B28" s="457" t="s">
        <v>168</v>
      </c>
      <c r="C28" s="449"/>
      <c r="D28" s="230">
        <f>'F6-SC'!D18/1.18</f>
        <v>84821.66443799999</v>
      </c>
      <c r="E28" s="230">
        <f>'F6-SC'!E18/1.18</f>
        <v>86412.53498463</v>
      </c>
      <c r="F28" s="230">
        <f>'F6-SC'!F18/1.18</f>
        <v>87860.63102190259</v>
      </c>
      <c r="G28" s="230">
        <f>'F6-SC'!G18/1.18</f>
        <v>89485.12727307253</v>
      </c>
      <c r="H28" s="230">
        <f>'F6-SC'!H18/1.18</f>
        <v>91042.35393989566</v>
      </c>
      <c r="I28" s="230">
        <f>'F6-SC'!I18/1.18</f>
        <v>92700.17206910199</v>
      </c>
      <c r="J28" s="230">
        <f>'F6-SC'!J18/1.18</f>
        <v>94375.88597180594</v>
      </c>
      <c r="K28" s="230">
        <f>'F6-SC'!K18/1.18</f>
        <v>96069.67676498176</v>
      </c>
      <c r="L28" s="230">
        <f>'F6-SC'!L18/1.18</f>
        <v>97781.72725624568</v>
      </c>
      <c r="M28" s="230">
        <f>'F6-SC'!M18/1.18</f>
        <v>99512.2219588877</v>
      </c>
      <c r="N28" s="230">
        <f>'F6-SC'!N18/1.18</f>
        <v>101261.34710703247</v>
      </c>
      <c r="O28" s="230">
        <f>'F6-SC'!O18/1.18</f>
        <v>103029.29067093093</v>
      </c>
      <c r="P28" s="230">
        <f>'F6-SC'!P18/1.18</f>
        <v>104816.24237238313</v>
      </c>
      <c r="Q28" s="230">
        <f>'F6-SC'!Q18/1.18</f>
        <v>106853.5125482941</v>
      </c>
      <c r="R28" s="230">
        <f>'F6-SC'!R18/1.18</f>
        <v>108679.05677436324</v>
      </c>
      <c r="S28" s="230">
        <f>'F6-SC'!S18/1.18</f>
        <v>110689.39652494105</v>
      </c>
      <c r="T28" s="230">
        <f>'F6-SC'!T18/1.18</f>
        <v>112555.3759240189</v>
      </c>
      <c r="U28" s="230">
        <f>'F6-SC'!U18/1.18</f>
        <v>114616.59226072143</v>
      </c>
      <c r="V28" s="230">
        <f>'F6-SC'!V18/1.18</f>
        <v>116692.25077683115</v>
      </c>
      <c r="W28" s="450">
        <f>'F6-SC'!W18/1.18</f>
        <v>118790.48316155463</v>
      </c>
      <c r="X28" s="440"/>
    </row>
    <row r="29" spans="1:24" ht="15">
      <c r="A29" s="458"/>
      <c r="B29" s="459"/>
      <c r="C29" s="460"/>
      <c r="D29" s="461"/>
      <c r="E29" s="461"/>
      <c r="F29" s="461"/>
      <c r="G29" s="461"/>
      <c r="H29" s="461"/>
      <c r="I29" s="461"/>
      <c r="J29" s="461"/>
      <c r="K29" s="461"/>
      <c r="L29" s="461"/>
      <c r="M29" s="461"/>
      <c r="N29" s="461"/>
      <c r="O29" s="461"/>
      <c r="P29" s="461"/>
      <c r="Q29" s="461"/>
      <c r="R29" s="461"/>
      <c r="S29" s="461"/>
      <c r="T29" s="461"/>
      <c r="U29" s="461"/>
      <c r="V29" s="461"/>
      <c r="W29" s="462"/>
      <c r="X29" s="440"/>
    </row>
    <row r="30" spans="1:24" ht="15">
      <c r="A30" s="463"/>
      <c r="B30" s="464" t="s">
        <v>174</v>
      </c>
      <c r="C30" s="465"/>
      <c r="D30" s="466">
        <f>+SUM(D28:D29)/SUM(D24:D26)</f>
        <v>0.9396622717695028</v>
      </c>
      <c r="E30" s="466">
        <f aca="true" t="shared" si="1" ref="E30:W30">+SUM(E28:E29)/SUM(E24:E26)</f>
        <v>0.9476460665854912</v>
      </c>
      <c r="F30" s="466">
        <f t="shared" si="1"/>
        <v>0.9552225661383061</v>
      </c>
      <c r="G30" s="466">
        <f t="shared" si="1"/>
        <v>0.9630747709511631</v>
      </c>
      <c r="H30" s="466">
        <f t="shared" si="1"/>
        <v>0.970325439693047</v>
      </c>
      <c r="I30" s="466">
        <f t="shared" si="1"/>
        <v>0.9780367805783058</v>
      </c>
      <c r="J30" s="466">
        <f t="shared" si="1"/>
        <v>0.9856793084283725</v>
      </c>
      <c r="K30" s="466">
        <f t="shared" si="1"/>
        <v>0.9932535826525993</v>
      </c>
      <c r="L30" s="466">
        <f t="shared" si="1"/>
        <v>1.0007601588696522</v>
      </c>
      <c r="M30" s="466">
        <f t="shared" si="1"/>
        <v>1.0081995889341877</v>
      </c>
      <c r="N30" s="466">
        <f t="shared" si="1"/>
        <v>1.0155724209627928</v>
      </c>
      <c r="O30" s="466">
        <f t="shared" si="1"/>
        <v>1.0228791993592279</v>
      </c>
      <c r="P30" s="466">
        <f t="shared" si="1"/>
        <v>1.0301204648389946</v>
      </c>
      <c r="Q30" s="466">
        <f t="shared" si="1"/>
        <v>1.0377846437777039</v>
      </c>
      <c r="R30" s="466">
        <f t="shared" si="1"/>
        <v>1.0448796516852938</v>
      </c>
      <c r="S30" s="466">
        <f t="shared" si="1"/>
        <v>1.0526775258812178</v>
      </c>
      <c r="T30" s="466">
        <f t="shared" si="1"/>
        <v>1.0596371640216875</v>
      </c>
      <c r="U30" s="466">
        <f t="shared" si="1"/>
        <v>1.0667410710697227</v>
      </c>
      <c r="V30" s="466">
        <f t="shared" si="1"/>
        <v>1.0743072434156975</v>
      </c>
      <c r="W30" s="467">
        <f t="shared" si="1"/>
        <v>1.0817940736696738</v>
      </c>
      <c r="X30" s="440"/>
    </row>
    <row r="31" spans="1:24" ht="15">
      <c r="A31" s="390"/>
      <c r="B31" s="468"/>
      <c r="C31" s="394"/>
      <c r="D31" s="469"/>
      <c r="E31" s="469"/>
      <c r="F31" s="469"/>
      <c r="G31" s="469"/>
      <c r="H31" s="469"/>
      <c r="I31" s="469"/>
      <c r="J31" s="469"/>
      <c r="K31" s="469"/>
      <c r="L31" s="469"/>
      <c r="M31" s="469"/>
      <c r="N31" s="469"/>
      <c r="O31" s="469"/>
      <c r="P31" s="469"/>
      <c r="Q31" s="469"/>
      <c r="R31" s="469"/>
      <c r="S31" s="469"/>
      <c r="T31" s="469"/>
      <c r="U31" s="469"/>
      <c r="V31" s="469"/>
      <c r="W31" s="470"/>
      <c r="X31" s="440"/>
    </row>
    <row r="32" spans="1:24" ht="15">
      <c r="A32" s="393" t="s">
        <v>361</v>
      </c>
      <c r="B32" s="468"/>
      <c r="C32" s="394"/>
      <c r="D32" s="469"/>
      <c r="E32" s="469"/>
      <c r="F32" s="469"/>
      <c r="G32" s="469"/>
      <c r="H32" s="469"/>
      <c r="I32" s="469"/>
      <c r="J32" s="469"/>
      <c r="K32" s="469"/>
      <c r="L32" s="469"/>
      <c r="M32" s="469"/>
      <c r="N32" s="469"/>
      <c r="O32" s="469"/>
      <c r="P32" s="469"/>
      <c r="Q32" s="469"/>
      <c r="R32" s="469"/>
      <c r="S32" s="469"/>
      <c r="T32" s="469"/>
      <c r="U32" s="469"/>
      <c r="V32" s="469"/>
      <c r="W32" s="470"/>
      <c r="X32" s="440"/>
    </row>
    <row r="33" spans="1:24" ht="7.5" customHeight="1">
      <c r="A33" s="393"/>
      <c r="B33" s="468"/>
      <c r="C33" s="394"/>
      <c r="D33" s="469"/>
      <c r="E33" s="469"/>
      <c r="F33" s="469"/>
      <c r="G33" s="469"/>
      <c r="H33" s="469"/>
      <c r="I33" s="469"/>
      <c r="J33" s="469"/>
      <c r="K33" s="469"/>
      <c r="L33" s="469"/>
      <c r="M33" s="469"/>
      <c r="N33" s="469"/>
      <c r="O33" s="469"/>
      <c r="P33" s="469"/>
      <c r="Q33" s="469"/>
      <c r="R33" s="469"/>
      <c r="S33" s="469"/>
      <c r="T33" s="469"/>
      <c r="U33" s="469"/>
      <c r="V33" s="469"/>
      <c r="W33" s="470"/>
      <c r="X33" s="440"/>
    </row>
    <row r="34" spans="1:24" ht="15">
      <c r="A34" s="852" t="s">
        <v>92</v>
      </c>
      <c r="B34" s="898"/>
      <c r="C34" s="898"/>
      <c r="D34" s="898"/>
      <c r="E34" s="898"/>
      <c r="F34" s="898"/>
      <c r="G34" s="898"/>
      <c r="H34" s="898"/>
      <c r="I34" s="898"/>
      <c r="J34" s="898"/>
      <c r="K34" s="898"/>
      <c r="L34" s="898"/>
      <c r="M34" s="898"/>
      <c r="N34" s="898"/>
      <c r="O34" s="898"/>
      <c r="P34" s="898"/>
      <c r="Q34" s="898"/>
      <c r="R34" s="898"/>
      <c r="S34" s="898"/>
      <c r="T34" s="898"/>
      <c r="U34" s="898"/>
      <c r="V34" s="898"/>
      <c r="W34" s="899"/>
      <c r="X34" s="440"/>
    </row>
    <row r="35" spans="1:24" ht="15">
      <c r="A35" s="893" t="s">
        <v>117</v>
      </c>
      <c r="B35" s="894"/>
      <c r="C35" s="77">
        <v>0</v>
      </c>
      <c r="D35" s="78">
        <v>1</v>
      </c>
      <c r="E35" s="78">
        <v>2</v>
      </c>
      <c r="F35" s="78">
        <v>3</v>
      </c>
      <c r="G35" s="78">
        <v>4</v>
      </c>
      <c r="H35" s="78">
        <v>5</v>
      </c>
      <c r="I35" s="78">
        <v>6</v>
      </c>
      <c r="J35" s="78">
        <v>7</v>
      </c>
      <c r="K35" s="78">
        <v>8</v>
      </c>
      <c r="L35" s="78">
        <v>9</v>
      </c>
      <c r="M35" s="78">
        <v>10</v>
      </c>
      <c r="N35" s="78">
        <v>11</v>
      </c>
      <c r="O35" s="78">
        <v>12</v>
      </c>
      <c r="P35" s="78">
        <v>13</v>
      </c>
      <c r="Q35" s="78">
        <v>14</v>
      </c>
      <c r="R35" s="78">
        <v>15</v>
      </c>
      <c r="S35" s="78">
        <v>16</v>
      </c>
      <c r="T35" s="78">
        <v>17</v>
      </c>
      <c r="U35" s="78">
        <v>18</v>
      </c>
      <c r="V35" s="78">
        <v>19</v>
      </c>
      <c r="W35" s="157">
        <v>20</v>
      </c>
      <c r="X35" s="440"/>
    </row>
    <row r="36" spans="1:24" ht="15">
      <c r="A36" s="895"/>
      <c r="B36" s="896"/>
      <c r="C36" s="55">
        <f>C23</f>
        <v>2011</v>
      </c>
      <c r="D36" s="56">
        <f aca="true" t="shared" si="2" ref="D36:W36">+C36+1</f>
        <v>2012</v>
      </c>
      <c r="E36" s="56">
        <f t="shared" si="2"/>
        <v>2013</v>
      </c>
      <c r="F36" s="56">
        <f t="shared" si="2"/>
        <v>2014</v>
      </c>
      <c r="G36" s="56">
        <f t="shared" si="2"/>
        <v>2015</v>
      </c>
      <c r="H36" s="56">
        <f t="shared" si="2"/>
        <v>2016</v>
      </c>
      <c r="I36" s="56">
        <f t="shared" si="2"/>
        <v>2017</v>
      </c>
      <c r="J36" s="56">
        <f t="shared" si="2"/>
        <v>2018</v>
      </c>
      <c r="K36" s="56">
        <f t="shared" si="2"/>
        <v>2019</v>
      </c>
      <c r="L36" s="56">
        <f t="shared" si="2"/>
        <v>2020</v>
      </c>
      <c r="M36" s="56">
        <f t="shared" si="2"/>
        <v>2021</v>
      </c>
      <c r="N36" s="56">
        <f t="shared" si="2"/>
        <v>2022</v>
      </c>
      <c r="O36" s="56">
        <f t="shared" si="2"/>
        <v>2023</v>
      </c>
      <c r="P36" s="56">
        <f t="shared" si="2"/>
        <v>2024</v>
      </c>
      <c r="Q36" s="56">
        <f t="shared" si="2"/>
        <v>2025</v>
      </c>
      <c r="R36" s="56">
        <f t="shared" si="2"/>
        <v>2026</v>
      </c>
      <c r="S36" s="56">
        <f t="shared" si="2"/>
        <v>2027</v>
      </c>
      <c r="T36" s="56">
        <f t="shared" si="2"/>
        <v>2028</v>
      </c>
      <c r="U36" s="56">
        <f t="shared" si="2"/>
        <v>2029</v>
      </c>
      <c r="V36" s="56">
        <f t="shared" si="2"/>
        <v>2030</v>
      </c>
      <c r="W36" s="138">
        <f t="shared" si="2"/>
        <v>2031</v>
      </c>
      <c r="X36" s="440"/>
    </row>
    <row r="37" spans="1:24" ht="15">
      <c r="A37" s="447"/>
      <c r="B37" s="448" t="s">
        <v>363</v>
      </c>
      <c r="C37" s="449"/>
      <c r="D37" s="230">
        <f>SUM('F5-SF'!E54:E55)</f>
        <v>0</v>
      </c>
      <c r="E37" s="230">
        <f>SUM('F5-SF'!F54:F55)</f>
        <v>0</v>
      </c>
      <c r="F37" s="230">
        <f>SUM('F5-SF'!G54:G55)</f>
        <v>0</v>
      </c>
      <c r="G37" s="230">
        <f>SUM('F5-SF'!H54:H55)</f>
        <v>1586964.96</v>
      </c>
      <c r="H37" s="230">
        <f>SUM('F5-SF'!I54:I55)</f>
        <v>0</v>
      </c>
      <c r="I37" s="230">
        <f>SUM('F5-SF'!J54:J55)</f>
        <v>0</v>
      </c>
      <c r="J37" s="230">
        <f>SUM('F5-SF'!K54:K55)</f>
        <v>0</v>
      </c>
      <c r="K37" s="230">
        <f>SUM('F5-SF'!L54:L55)</f>
        <v>1586964.96</v>
      </c>
      <c r="L37" s="230">
        <f>SUM('F5-SF'!M54:M55)</f>
        <v>0</v>
      </c>
      <c r="M37" s="230">
        <f>SUM('F5-SF'!N54:N55)</f>
        <v>283386.6</v>
      </c>
      <c r="N37" s="230">
        <f>SUM('F5-SF'!O54:O55)</f>
        <v>0</v>
      </c>
      <c r="O37" s="230">
        <f>SUM('F5-SF'!P54:P55)</f>
        <v>1586964.96</v>
      </c>
      <c r="P37" s="230">
        <f>SUM('F5-SF'!Q54:Q55)</f>
        <v>0</v>
      </c>
      <c r="Q37" s="230">
        <f>SUM('F5-SF'!R54:R55)</f>
        <v>0</v>
      </c>
      <c r="R37" s="230">
        <f>SUM('F5-SF'!S54:S55)</f>
        <v>0</v>
      </c>
      <c r="S37" s="230">
        <f>SUM('F5-SF'!T54:T55)</f>
        <v>1586964.96</v>
      </c>
      <c r="T37" s="230">
        <f>SUM('F5-SF'!U54:U55)</f>
        <v>0</v>
      </c>
      <c r="U37" s="230">
        <f>SUM('F5-SF'!V54:V55)</f>
        <v>0</v>
      </c>
      <c r="V37" s="230">
        <f>SUM('F5-SF'!W54:W55)</f>
        <v>0</v>
      </c>
      <c r="W37" s="450">
        <f>SUM('F5-SF'!X54:X55)</f>
        <v>1870351.56</v>
      </c>
      <c r="X37" s="440"/>
    </row>
    <row r="38" spans="1:24" ht="15">
      <c r="A38" s="451"/>
      <c r="B38" s="448" t="s">
        <v>164</v>
      </c>
      <c r="C38" s="449"/>
      <c r="D38" s="230">
        <f>'F5-SF'!E57/1.18</f>
        <v>98960.94740806779</v>
      </c>
      <c r="E38" s="230">
        <f>'F5-SF'!F57/1.18</f>
        <v>98960.94740806779</v>
      </c>
      <c r="F38" s="230">
        <f>'F5-SF'!G57/1.18</f>
        <v>98960.94740806779</v>
      </c>
      <c r="G38" s="230">
        <f>'F5-SF'!H57/1.18</f>
        <v>98960.94740806779</v>
      </c>
      <c r="H38" s="230">
        <f>'F5-SF'!I57/1.18</f>
        <v>98960.94740806779</v>
      </c>
      <c r="I38" s="230">
        <f>'F5-SF'!J57/1.18</f>
        <v>98960.94740806779</v>
      </c>
      <c r="J38" s="230">
        <f>'F5-SF'!K57/1.18</f>
        <v>98960.94740806779</v>
      </c>
      <c r="K38" s="230">
        <f>'F5-SF'!L57/1.18</f>
        <v>98960.94740806779</v>
      </c>
      <c r="L38" s="230">
        <f>'F5-SF'!M57/1.18</f>
        <v>98960.94740806779</v>
      </c>
      <c r="M38" s="230">
        <f>'F5-SF'!N57/1.18</f>
        <v>98960.94740806779</v>
      </c>
      <c r="N38" s="230">
        <f>'F5-SF'!O57/1.18</f>
        <v>98960.94740806779</v>
      </c>
      <c r="O38" s="230">
        <f>'F5-SF'!P57/1.18</f>
        <v>98960.94740806779</v>
      </c>
      <c r="P38" s="230">
        <f>'F5-SF'!Q57/1.18</f>
        <v>98960.94740806779</v>
      </c>
      <c r="Q38" s="230">
        <f>'F5-SF'!R57/1.18</f>
        <v>98960.94740806779</v>
      </c>
      <c r="R38" s="230">
        <f>'F5-SF'!S57/1.18</f>
        <v>98960.94740806779</v>
      </c>
      <c r="S38" s="230">
        <f>'F5-SF'!T57/1.18</f>
        <v>98960.94740806779</v>
      </c>
      <c r="T38" s="230">
        <f>'F5-SF'!U57/1.18</f>
        <v>98960.94740806779</v>
      </c>
      <c r="U38" s="230">
        <f>'F5-SF'!V57/1.18</f>
        <v>98960.94740806779</v>
      </c>
      <c r="V38" s="230">
        <f>'F5-SF'!W57/1.18</f>
        <v>98960.94740806779</v>
      </c>
      <c r="W38" s="450">
        <f>'F5-SF'!X57/1.18</f>
        <v>98960.94740806779</v>
      </c>
      <c r="X38" s="440"/>
    </row>
    <row r="39" spans="1:24" ht="15">
      <c r="A39" s="451" t="s">
        <v>171</v>
      </c>
      <c r="B39" s="448" t="s">
        <v>167</v>
      </c>
      <c r="C39" s="449"/>
      <c r="D39" s="230">
        <f>'F5-SF'!E58/1.18</f>
        <v>66152.13085711836</v>
      </c>
      <c r="E39" s="230">
        <f>'F5-SF'!F58/1.18</f>
        <v>67965.27250152518</v>
      </c>
      <c r="F39" s="230">
        <f>'F5-SF'!G58/1.18</f>
        <v>69519.39391101665</v>
      </c>
      <c r="G39" s="230">
        <f>'F5-SF'!H58/1.18</f>
        <v>0</v>
      </c>
      <c r="H39" s="230">
        <f>'F5-SF'!I58/1.18</f>
        <v>73016.79727610141</v>
      </c>
      <c r="I39" s="230">
        <f>'F5-SF'!J58/1.18</f>
        <v>74829.93892050823</v>
      </c>
      <c r="J39" s="230">
        <f>'F5-SF'!K58/1.18</f>
        <v>76643.08056491498</v>
      </c>
      <c r="K39" s="230">
        <f>'F5-SF'!L58/1.18</f>
        <v>0</v>
      </c>
      <c r="L39" s="230">
        <f>'F5-SF'!M58/1.18</f>
        <v>80269.36385372852</v>
      </c>
      <c r="M39" s="230">
        <f>'F5-SF'!N58/1.18</f>
        <v>21025.3523812149</v>
      </c>
      <c r="N39" s="230">
        <f>'F5-SF'!O58/1.18</f>
        <v>83895.64714254208</v>
      </c>
      <c r="O39" s="230">
        <f>'F5-SF'!P58/1.18</f>
        <v>0</v>
      </c>
      <c r="P39" s="230">
        <f>'F5-SF'!Q58/1.18</f>
        <v>87521.93043135562</v>
      </c>
      <c r="Q39" s="230">
        <f>'F5-SF'!R58/1.18</f>
        <v>89724.23262186414</v>
      </c>
      <c r="R39" s="230">
        <f>'F5-SF'!S58/1.18</f>
        <v>91537.37426627097</v>
      </c>
      <c r="S39" s="230">
        <f>'F5-SF'!T58/1.18</f>
        <v>0</v>
      </c>
      <c r="T39" s="230">
        <f>'F5-SF'!U58/1.18</f>
        <v>95422.67778999974</v>
      </c>
      <c r="U39" s="230">
        <f>'F5-SF'!V58/1.18</f>
        <v>97494.8396693218</v>
      </c>
      <c r="V39" s="230">
        <f>'F5-SF'!W58/1.18</f>
        <v>99567.00154864382</v>
      </c>
      <c r="W39" s="450">
        <f>'F5-SF'!X58/1.18</f>
        <v>0</v>
      </c>
      <c r="X39" s="440"/>
    </row>
    <row r="40" spans="1:24" ht="15">
      <c r="A40" s="452" t="s">
        <v>39</v>
      </c>
      <c r="B40" s="449"/>
      <c r="C40" s="449"/>
      <c r="D40" s="453"/>
      <c r="E40" s="453"/>
      <c r="F40" s="453"/>
      <c r="G40" s="453"/>
      <c r="H40" s="453"/>
      <c r="I40" s="453"/>
      <c r="J40" s="453"/>
      <c r="K40" s="453"/>
      <c r="L40" s="453"/>
      <c r="M40" s="454"/>
      <c r="N40" s="454"/>
      <c r="O40" s="454"/>
      <c r="P40" s="454"/>
      <c r="Q40" s="454"/>
      <c r="R40" s="454"/>
      <c r="S40" s="454"/>
      <c r="T40" s="454"/>
      <c r="U40" s="454"/>
      <c r="V40" s="454"/>
      <c r="W40" s="455"/>
      <c r="X40" s="440"/>
    </row>
    <row r="41" spans="1:24" ht="15">
      <c r="A41" s="456">
        <f>_xlfn.IFERROR('F5-SF'!E57/'F5-SF'!D14/FNP,"")</f>
        <v>0.02</v>
      </c>
      <c r="B41" s="457" t="s">
        <v>168</v>
      </c>
      <c r="C41" s="449"/>
      <c r="D41" s="230">
        <f>'F6-SF'!D17/1.18</f>
        <v>566991.701064</v>
      </c>
      <c r="E41" s="230">
        <f>'F6-SF'!E17/1.18</f>
        <v>574123.3915320002</v>
      </c>
      <c r="F41" s="230">
        <f>'F6-SF'!F17/1.18</f>
        <v>580236.269076</v>
      </c>
      <c r="G41" s="230">
        <f>'F6-SF'!G17/1.18</f>
        <v>587367.959544</v>
      </c>
      <c r="H41" s="230">
        <f>'F6-SF'!H17/1.18</f>
        <v>593992.722312</v>
      </c>
      <c r="I41" s="230">
        <f>'F6-SF'!I17/1.18</f>
        <v>601124.4127800001</v>
      </c>
      <c r="J41" s="230">
        <f>'F6-SF'!J17/1.18</f>
        <v>608256.103248</v>
      </c>
      <c r="K41" s="230">
        <f>'F6-SF'!K17/1.18</f>
        <v>615387.7937160002</v>
      </c>
      <c r="L41" s="230">
        <f>'F6-SF'!L17/1.18</f>
        <v>622519.484184</v>
      </c>
      <c r="M41" s="230">
        <f>'F6-SF'!M17/1.18</f>
        <v>629651.1746520001</v>
      </c>
      <c r="N41" s="230">
        <f>'F6-SF'!N17/1.18</f>
        <v>636782.86512</v>
      </c>
      <c r="O41" s="230">
        <f>'F6-SF'!O17/1.18</f>
        <v>643914.5555880001</v>
      </c>
      <c r="P41" s="230">
        <f>'F6-SF'!P17/1.18</f>
        <v>651046.2460559999</v>
      </c>
      <c r="Q41" s="230">
        <f>'F6-SF'!Q17/1.18</f>
        <v>659708.6346720001</v>
      </c>
      <c r="R41" s="230">
        <f>'F6-SF'!R17/1.18</f>
        <v>666840.3251400003</v>
      </c>
      <c r="S41" s="230">
        <f>'F6-SF'!S17/1.18</f>
        <v>674990.8285320001</v>
      </c>
      <c r="T41" s="230">
        <f>'F6-SF'!T17/1.18</f>
        <v>682122.5190000001</v>
      </c>
      <c r="U41" s="230">
        <f>'F6-SF'!U17/1.18</f>
        <v>690273.0223920002</v>
      </c>
      <c r="V41" s="230">
        <f>'F6-SF'!V17/1.18</f>
        <v>698423.5257840002</v>
      </c>
      <c r="W41" s="450">
        <f>'F6-SF'!W17/1.18</f>
        <v>706574.0291760002</v>
      </c>
      <c r="X41" s="440"/>
    </row>
    <row r="42" spans="1:24" ht="15">
      <c r="A42" s="458"/>
      <c r="B42" s="459"/>
      <c r="C42" s="460"/>
      <c r="D42" s="461"/>
      <c r="E42" s="461"/>
      <c r="F42" s="461"/>
      <c r="G42" s="461"/>
      <c r="H42" s="461"/>
      <c r="I42" s="461"/>
      <c r="J42" s="461"/>
      <c r="K42" s="461"/>
      <c r="L42" s="461"/>
      <c r="M42" s="461"/>
      <c r="N42" s="461"/>
      <c r="O42" s="461"/>
      <c r="P42" s="461"/>
      <c r="Q42" s="461"/>
      <c r="R42" s="461"/>
      <c r="S42" s="461"/>
      <c r="T42" s="461"/>
      <c r="U42" s="461"/>
      <c r="V42" s="461"/>
      <c r="W42" s="462"/>
      <c r="X42" s="440"/>
    </row>
    <row r="43" spans="1:24" ht="15">
      <c r="A43" s="463"/>
      <c r="B43" s="464" t="s">
        <v>174</v>
      </c>
      <c r="C43" s="465"/>
      <c r="D43" s="466">
        <f aca="true" t="shared" si="3" ref="D43:W43">_xlfn.IFERROR(SUM(D41:D42)/SUM(D37:D39),0)</f>
        <v>3.433959968654702</v>
      </c>
      <c r="E43" s="466">
        <f t="shared" si="3"/>
        <v>3.4393841293653247</v>
      </c>
      <c r="F43" s="466">
        <f t="shared" si="3"/>
        <v>3.4439404890395613</v>
      </c>
      <c r="G43" s="466">
        <f t="shared" si="3"/>
        <v>0.34839488316957884</v>
      </c>
      <c r="H43" s="466">
        <f t="shared" si="3"/>
        <v>3.453892963899752</v>
      </c>
      <c r="I43" s="466">
        <f t="shared" si="3"/>
        <v>3.4588949137614167</v>
      </c>
      <c r="J43" s="466">
        <f t="shared" si="3"/>
        <v>3.4637935716462156</v>
      </c>
      <c r="K43" s="466">
        <f t="shared" si="3"/>
        <v>0.36501473226785724</v>
      </c>
      <c r="L43" s="466">
        <f t="shared" si="3"/>
        <v>3.4732935506355536</v>
      </c>
      <c r="M43" s="466">
        <f t="shared" si="3"/>
        <v>1.560965486231035</v>
      </c>
      <c r="N43" s="466">
        <f t="shared" si="3"/>
        <v>3.482416735830412</v>
      </c>
      <c r="O43" s="466">
        <f t="shared" si="3"/>
        <v>0.38193526344105505</v>
      </c>
      <c r="P43" s="466">
        <f t="shared" si="3"/>
        <v>3.4911851082467873</v>
      </c>
      <c r="Q43" s="466">
        <f t="shared" si="3"/>
        <v>3.4963457891464906</v>
      </c>
      <c r="R43" s="466">
        <f t="shared" si="3"/>
        <v>3.500504987545135</v>
      </c>
      <c r="S43" s="466">
        <f t="shared" si="3"/>
        <v>0.4003680265936045</v>
      </c>
      <c r="T43" s="466">
        <f t="shared" si="3"/>
        <v>3.5091562795217457</v>
      </c>
      <c r="U43" s="466">
        <f t="shared" si="3"/>
        <v>3.51363038300359</v>
      </c>
      <c r="V43" s="466">
        <f t="shared" si="3"/>
        <v>3.5180110883847853</v>
      </c>
      <c r="W43" s="467">
        <f t="shared" si="3"/>
        <v>0.3587922315620517</v>
      </c>
      <c r="X43" s="440"/>
    </row>
    <row r="44" spans="1:24" ht="15">
      <c r="A44" s="390"/>
      <c r="B44" s="468"/>
      <c r="C44" s="394"/>
      <c r="D44" s="469"/>
      <c r="E44" s="469"/>
      <c r="F44" s="469"/>
      <c r="G44" s="469"/>
      <c r="H44" s="469"/>
      <c r="I44" s="469"/>
      <c r="J44" s="469"/>
      <c r="K44" s="469"/>
      <c r="L44" s="469"/>
      <c r="M44" s="469"/>
      <c r="N44" s="469"/>
      <c r="O44" s="469"/>
      <c r="P44" s="469"/>
      <c r="Q44" s="469"/>
      <c r="R44" s="469"/>
      <c r="S44" s="469"/>
      <c r="T44" s="469"/>
      <c r="U44" s="469"/>
      <c r="V44" s="469"/>
      <c r="W44" s="470"/>
      <c r="X44" s="440"/>
    </row>
    <row r="45" spans="1:24" ht="15">
      <c r="A45" s="390"/>
      <c r="B45" s="897" t="s">
        <v>364</v>
      </c>
      <c r="C45" s="897"/>
      <c r="D45" s="469"/>
      <c r="E45" s="897" t="s">
        <v>365</v>
      </c>
      <c r="F45" s="897"/>
      <c r="G45" s="897"/>
      <c r="H45" s="897"/>
      <c r="I45" s="897"/>
      <c r="J45" s="897"/>
      <c r="K45" s="469"/>
      <c r="L45" s="469"/>
      <c r="M45" s="469"/>
      <c r="N45" s="469"/>
      <c r="O45" s="469"/>
      <c r="P45" s="469"/>
      <c r="Q45" s="469"/>
      <c r="R45" s="469"/>
      <c r="S45" s="469"/>
      <c r="T45" s="469"/>
      <c r="U45" s="469"/>
      <c r="V45" s="469"/>
      <c r="W45" s="470"/>
      <c r="X45" s="440"/>
    </row>
    <row r="46" spans="1:24" ht="15">
      <c r="A46" s="390"/>
      <c r="B46" s="798" t="s">
        <v>161</v>
      </c>
      <c r="C46" s="269">
        <v>0.12</v>
      </c>
      <c r="D46" s="469"/>
      <c r="E46" s="892" t="s">
        <v>161</v>
      </c>
      <c r="F46" s="892"/>
      <c r="G46" s="892"/>
      <c r="H46" s="892"/>
      <c r="I46" s="892"/>
      <c r="J46" s="269">
        <f>IF(Entrada!D16="Sistema Convencional","",12%)</f>
        <v>0.12</v>
      </c>
      <c r="K46" s="469"/>
      <c r="L46" s="469"/>
      <c r="M46" s="469"/>
      <c r="N46" s="469"/>
      <c r="O46" s="469"/>
      <c r="P46" s="469"/>
      <c r="Q46" s="469"/>
      <c r="R46" s="469"/>
      <c r="S46" s="469"/>
      <c r="T46" s="469"/>
      <c r="U46" s="469"/>
      <c r="V46" s="469"/>
      <c r="W46" s="470"/>
      <c r="X46" s="440"/>
    </row>
    <row r="47" spans="1:24" ht="15">
      <c r="A47" s="390"/>
      <c r="B47" s="798" t="s">
        <v>172</v>
      </c>
      <c r="C47" s="270">
        <f>NPV(C46,SUM(D24:W26))</f>
        <v>1777003.1072056042</v>
      </c>
      <c r="D47" s="469"/>
      <c r="E47" s="892" t="s">
        <v>172</v>
      </c>
      <c r="F47" s="892"/>
      <c r="G47" s="892"/>
      <c r="H47" s="892"/>
      <c r="I47" s="892"/>
      <c r="J47" s="270">
        <f>IF(Entrada!D16="Sistema Convencional","",NPV(J46,SUM(D38:W39)))+SUM(D37:W37)</f>
        <v>11317494.412408466</v>
      </c>
      <c r="K47" s="469"/>
      <c r="L47" s="469"/>
      <c r="M47" s="469"/>
      <c r="N47" s="469"/>
      <c r="O47" s="469"/>
      <c r="P47" s="469"/>
      <c r="Q47" s="469"/>
      <c r="R47" s="469"/>
      <c r="S47" s="469"/>
      <c r="T47" s="469"/>
      <c r="U47" s="469"/>
      <c r="V47" s="469"/>
      <c r="W47" s="470"/>
      <c r="X47" s="440"/>
    </row>
    <row r="48" spans="1:24" ht="15">
      <c r="A48" s="390"/>
      <c r="B48" s="798" t="s">
        <v>173</v>
      </c>
      <c r="C48" s="270">
        <f>NPV(C46,SUM(D28:W29))</f>
        <v>1801826.3783924952</v>
      </c>
      <c r="D48" s="469"/>
      <c r="E48" s="892" t="s">
        <v>173</v>
      </c>
      <c r="F48" s="892"/>
      <c r="G48" s="892"/>
      <c r="H48" s="892"/>
      <c r="I48" s="892"/>
      <c r="J48" s="270">
        <f>IF(Entrada!D16="Sistema Convencional","",NPV(J46,SUM(D41:W42)))</f>
        <v>11330649.610328572</v>
      </c>
      <c r="K48" s="469"/>
      <c r="L48" s="469"/>
      <c r="M48" s="469"/>
      <c r="N48" s="469"/>
      <c r="O48" s="469"/>
      <c r="P48" s="469"/>
      <c r="Q48" s="469"/>
      <c r="R48" s="469"/>
      <c r="S48" s="469"/>
      <c r="T48" s="469"/>
      <c r="U48" s="469"/>
      <c r="V48" s="469"/>
      <c r="W48" s="470"/>
      <c r="X48" s="440"/>
    </row>
    <row r="49" spans="1:24" ht="15">
      <c r="A49" s="390"/>
      <c r="B49" s="464" t="s">
        <v>175</v>
      </c>
      <c r="C49" s="271">
        <f>IF(Entrada!D16="Sistema Fotovoltaico","",_xlfn.IFERROR(C48/C47,0))</f>
        <v>1.013969177142254</v>
      </c>
      <c r="D49" s="469"/>
      <c r="E49" s="892" t="s">
        <v>175</v>
      </c>
      <c r="F49" s="892"/>
      <c r="G49" s="892"/>
      <c r="H49" s="892"/>
      <c r="I49" s="892"/>
      <c r="J49" s="271">
        <f>IF(Entrada!D16="Sistema Convencional","",_xlfn.IFERROR(J48/J47,0))</f>
        <v>1.0011623772401144</v>
      </c>
      <c r="K49" s="469"/>
      <c r="L49" s="469"/>
      <c r="M49" s="469"/>
      <c r="N49" s="469"/>
      <c r="O49" s="469"/>
      <c r="P49" s="469"/>
      <c r="Q49" s="469"/>
      <c r="R49" s="469"/>
      <c r="S49" s="469"/>
      <c r="T49" s="469"/>
      <c r="U49" s="469"/>
      <c r="V49" s="469"/>
      <c r="W49" s="470"/>
      <c r="X49" s="440"/>
    </row>
    <row r="50" spans="1:24" ht="15">
      <c r="A50" s="390"/>
      <c r="B50" s="24"/>
      <c r="C50" s="24"/>
      <c r="D50" s="24"/>
      <c r="E50" s="24"/>
      <c r="F50" s="24"/>
      <c r="G50" s="24"/>
      <c r="H50" s="24"/>
      <c r="I50" s="24"/>
      <c r="J50" s="24"/>
      <c r="K50" s="24"/>
      <c r="L50" s="24"/>
      <c r="M50" s="24"/>
      <c r="N50" s="24"/>
      <c r="O50" s="24"/>
      <c r="P50" s="24"/>
      <c r="Q50" s="24"/>
      <c r="R50" s="24"/>
      <c r="S50" s="24"/>
      <c r="T50" s="24"/>
      <c r="U50" s="24"/>
      <c r="V50" s="24"/>
      <c r="W50" s="392"/>
      <c r="X50" s="440"/>
    </row>
    <row r="51" spans="1:24" ht="15">
      <c r="A51" s="444">
        <v>5</v>
      </c>
      <c r="B51" s="394" t="s">
        <v>21</v>
      </c>
      <c r="C51" s="394"/>
      <c r="D51" s="394"/>
      <c r="E51" s="394"/>
      <c r="F51" s="394"/>
      <c r="G51" s="394"/>
      <c r="H51" s="394"/>
      <c r="I51" s="394"/>
      <c r="J51" s="394"/>
      <c r="K51" s="394"/>
      <c r="L51" s="394"/>
      <c r="M51" s="394"/>
      <c r="N51" s="394"/>
      <c r="O51" s="394"/>
      <c r="P51" s="394"/>
      <c r="Q51" s="394"/>
      <c r="R51" s="394"/>
      <c r="S51" s="394"/>
      <c r="T51" s="394"/>
      <c r="U51" s="394"/>
      <c r="V51" s="394"/>
      <c r="W51" s="396"/>
      <c r="X51" s="440"/>
    </row>
    <row r="52" spans="1:24" ht="5.25" customHeight="1">
      <c r="A52" s="390"/>
      <c r="B52" s="24"/>
      <c r="C52" s="24"/>
      <c r="D52" s="24"/>
      <c r="E52" s="24"/>
      <c r="F52" s="24"/>
      <c r="G52" s="24"/>
      <c r="H52" s="24"/>
      <c r="I52" s="24"/>
      <c r="J52" s="24"/>
      <c r="K52" s="24"/>
      <c r="L52" s="24"/>
      <c r="M52" s="24"/>
      <c r="N52" s="24"/>
      <c r="O52" s="24"/>
      <c r="P52" s="24"/>
      <c r="Q52" s="24"/>
      <c r="R52" s="24"/>
      <c r="S52" s="24"/>
      <c r="T52" s="24"/>
      <c r="U52" s="24"/>
      <c r="V52" s="24"/>
      <c r="W52" s="392"/>
      <c r="X52" s="440"/>
    </row>
    <row r="53" spans="1:24" ht="30" customHeight="1" thickBot="1">
      <c r="A53" s="436"/>
      <c r="B53" s="900" t="s">
        <v>166</v>
      </c>
      <c r="C53" s="900"/>
      <c r="D53" s="900"/>
      <c r="E53" s="900"/>
      <c r="F53" s="900"/>
      <c r="G53" s="900"/>
      <c r="H53" s="900"/>
      <c r="I53" s="900"/>
      <c r="J53" s="900"/>
      <c r="K53" s="900"/>
      <c r="L53" s="900"/>
      <c r="M53" s="900"/>
      <c r="N53" s="900"/>
      <c r="O53" s="900"/>
      <c r="P53" s="900"/>
      <c r="Q53" s="900"/>
      <c r="R53" s="900"/>
      <c r="S53" s="900"/>
      <c r="T53" s="900"/>
      <c r="U53" s="900"/>
      <c r="V53" s="900"/>
      <c r="W53" s="901"/>
      <c r="X53" s="440"/>
    </row>
    <row r="54" spans="1:24" ht="5.25" customHeight="1">
      <c r="A54" s="440"/>
      <c r="B54" s="440"/>
      <c r="C54" s="440"/>
      <c r="D54" s="440"/>
      <c r="E54" s="440"/>
      <c r="F54" s="440"/>
      <c r="G54" s="440"/>
      <c r="H54" s="440"/>
      <c r="I54" s="440"/>
      <c r="J54" s="440"/>
      <c r="K54" s="440"/>
      <c r="L54" s="440"/>
      <c r="M54" s="440"/>
      <c r="N54" s="440"/>
      <c r="O54" s="440"/>
      <c r="P54" s="440"/>
      <c r="Q54" s="440"/>
      <c r="R54" s="440"/>
      <c r="S54" s="440"/>
      <c r="T54" s="440"/>
      <c r="U54" s="440"/>
      <c r="V54" s="440"/>
      <c r="W54" s="440"/>
      <c r="X54" s="440"/>
    </row>
    <row r="55" spans="1:24" ht="15">
      <c r="A55" s="440"/>
      <c r="B55" s="440"/>
      <c r="C55" s="440"/>
      <c r="D55" s="440"/>
      <c r="E55" s="440"/>
      <c r="F55" s="440"/>
      <c r="G55" s="440"/>
      <c r="H55" s="440"/>
      <c r="I55" s="440"/>
      <c r="J55" s="440"/>
      <c r="K55" s="440"/>
      <c r="L55" s="440"/>
      <c r="M55" s="440"/>
      <c r="N55" s="440"/>
      <c r="O55" s="440"/>
      <c r="P55" s="440"/>
      <c r="Q55" s="440"/>
      <c r="R55" s="440"/>
      <c r="S55" s="440"/>
      <c r="T55" s="440"/>
      <c r="U55" s="440"/>
      <c r="V55" s="440"/>
      <c r="W55" s="440"/>
      <c r="X55" s="440"/>
    </row>
  </sheetData>
  <sheetProtection password="FFA0" sheet="1" objects="1" scenarios="1" formatCells="0" formatColumns="0" formatRows="0"/>
  <mergeCells count="16">
    <mergeCell ref="A21:W21"/>
    <mergeCell ref="A22:B23"/>
    <mergeCell ref="B45:C45"/>
    <mergeCell ref="A2:W2"/>
    <mergeCell ref="A3:W3"/>
    <mergeCell ref="B53:W53"/>
    <mergeCell ref="B11:W11"/>
    <mergeCell ref="B7:W7"/>
    <mergeCell ref="B15:W15"/>
    <mergeCell ref="A34:W34"/>
    <mergeCell ref="E49:I49"/>
    <mergeCell ref="A35:B36"/>
    <mergeCell ref="E46:I46"/>
    <mergeCell ref="E47:I47"/>
    <mergeCell ref="E48:I48"/>
    <mergeCell ref="E45:J45"/>
  </mergeCells>
  <printOptions horizontalCentered="1" verticalCentered="1"/>
  <pageMargins left="0.31496062992125984" right="0.31496062992125984" top="0.7480314960629921" bottom="0.7480314960629921" header="0.31496062992125984" footer="0.31496062992125984"/>
  <pageSetup fitToHeight="1" fitToWidth="1" horizontalDpi="600" verticalDpi="600" orientation="landscape" paperSize="9" scale="61" r:id="rId2"/>
  <drawing r:id="rId1"/>
</worksheet>
</file>

<file path=xl/worksheets/sheet21.xml><?xml version="1.0" encoding="utf-8"?>
<worksheet xmlns="http://schemas.openxmlformats.org/spreadsheetml/2006/main" xmlns:r="http://schemas.openxmlformats.org/officeDocument/2006/relationships">
  <sheetPr codeName="Hoja1">
    <pageSetUpPr fitToPage="1"/>
  </sheetPr>
  <dimension ref="A1:R40"/>
  <sheetViews>
    <sheetView showGridLines="0" showZeros="0" zoomScaleSheetLayoutView="100" zoomScalePageLayoutView="0" workbookViewId="0" topLeftCell="A1">
      <pane ySplit="4" topLeftCell="A11" activePane="bottomLeft" state="frozen"/>
      <selection pane="topLeft" activeCell="K132" sqref="K132"/>
      <selection pane="bottomLeft" activeCell="H19" sqref="H19"/>
    </sheetView>
  </sheetViews>
  <sheetFormatPr defaultColWidth="11.421875" defaultRowHeight="15"/>
  <cols>
    <col min="1" max="1" width="0.85546875" style="234" customWidth="1"/>
    <col min="2" max="2" width="36.140625" style="234" customWidth="1"/>
    <col min="3" max="3" width="12.28125" style="234" customWidth="1"/>
    <col min="4" max="5" width="13.28125" style="234" bestFit="1" customWidth="1"/>
    <col min="6" max="6" width="12.421875" style="234" customWidth="1"/>
    <col min="7" max="7" width="12.57421875" style="234" customWidth="1"/>
    <col min="8" max="8" width="8.28125" style="234" hidden="1" customWidth="1"/>
    <col min="9" max="14" width="11.421875" style="234" hidden="1" customWidth="1"/>
    <col min="15" max="15" width="1.8515625" style="234" hidden="1" customWidth="1"/>
    <col min="16" max="18" width="11.421875" style="234" hidden="1" customWidth="1"/>
    <col min="19" max="19" width="11.421875" style="234" customWidth="1"/>
    <col min="20" max="16384" width="11.421875" style="234" customWidth="1"/>
  </cols>
  <sheetData>
    <row r="1" spans="1:12" ht="15">
      <c r="A1" s="9"/>
      <c r="B1" s="9"/>
      <c r="C1" s="9"/>
      <c r="D1" s="9"/>
      <c r="E1" s="9"/>
      <c r="F1" s="387"/>
      <c r="G1" s="9"/>
      <c r="H1" s="9"/>
      <c r="I1" s="9"/>
      <c r="J1" s="9"/>
      <c r="K1" s="9"/>
      <c r="L1" s="9"/>
    </row>
    <row r="2" spans="1:12" ht="12.75" customHeight="1" thickBot="1">
      <c r="A2" s="15"/>
      <c r="B2" s="15"/>
      <c r="C2" s="15"/>
      <c r="D2" s="15"/>
      <c r="E2" s="15"/>
      <c r="F2" s="388"/>
      <c r="G2" s="15"/>
      <c r="H2" s="9"/>
      <c r="I2" s="9"/>
      <c r="J2" s="9"/>
      <c r="K2" s="9"/>
      <c r="L2" s="9"/>
    </row>
    <row r="3" spans="1:12" ht="15.75">
      <c r="A3" s="389"/>
      <c r="B3" s="876" t="s">
        <v>170</v>
      </c>
      <c r="C3" s="877"/>
      <c r="D3" s="877"/>
      <c r="E3" s="877"/>
      <c r="F3" s="877"/>
      <c r="G3" s="878"/>
      <c r="H3" s="9"/>
      <c r="I3" s="9"/>
      <c r="J3" s="9"/>
      <c r="K3" s="9"/>
      <c r="L3" s="9"/>
    </row>
    <row r="4" spans="1:12" ht="15.75">
      <c r="A4" s="389"/>
      <c r="B4" s="882" t="s">
        <v>229</v>
      </c>
      <c r="C4" s="883"/>
      <c r="D4" s="883"/>
      <c r="E4" s="883"/>
      <c r="F4" s="883"/>
      <c r="G4" s="884"/>
      <c r="H4" s="9"/>
      <c r="I4" s="9"/>
      <c r="J4" s="9"/>
      <c r="K4" s="9"/>
      <c r="L4" s="9"/>
    </row>
    <row r="5" spans="1:12" ht="15">
      <c r="A5" s="390"/>
      <c r="B5" s="390"/>
      <c r="C5" s="24"/>
      <c r="D5" s="24"/>
      <c r="E5" s="24"/>
      <c r="F5" s="391"/>
      <c r="G5" s="392"/>
      <c r="H5" s="9"/>
      <c r="I5" s="9"/>
      <c r="J5" s="9"/>
      <c r="K5" s="9"/>
      <c r="L5" s="9"/>
    </row>
    <row r="6" spans="1:12" ht="15">
      <c r="A6" s="393">
        <v>1</v>
      </c>
      <c r="B6" s="393" t="s">
        <v>46</v>
      </c>
      <c r="C6" s="394"/>
      <c r="D6" s="394"/>
      <c r="E6" s="394"/>
      <c r="F6" s="395"/>
      <c r="G6" s="396"/>
      <c r="H6" s="397"/>
      <c r="I6" s="397"/>
      <c r="J6" s="397"/>
      <c r="K6" s="397"/>
      <c r="L6" s="397"/>
    </row>
    <row r="7" spans="1:12" ht="15">
      <c r="A7" s="390"/>
      <c r="B7" s="390" t="str">
        <f>IF(RESULTADOS!C4="Sistema Convencional","Precio de compra de energía","Tiempo de Reposicion de Baterias")</f>
        <v>Precio de compra de energía</v>
      </c>
      <c r="C7" s="24"/>
      <c r="D7" s="24"/>
      <c r="E7" s="24"/>
      <c r="F7" s="391"/>
      <c r="G7" s="392"/>
      <c r="H7" s="9"/>
      <c r="I7" s="9"/>
      <c r="J7" s="9"/>
      <c r="K7" s="9"/>
      <c r="L7" s="9"/>
    </row>
    <row r="8" spans="1:12" ht="15">
      <c r="A8" s="390"/>
      <c r="B8" s="390" t="s">
        <v>176</v>
      </c>
      <c r="C8" s="24"/>
      <c r="D8" s="24"/>
      <c r="E8" s="24"/>
      <c r="F8" s="391"/>
      <c r="G8" s="392"/>
      <c r="H8" s="9"/>
      <c r="I8" s="9"/>
      <c r="J8" s="9"/>
      <c r="K8" s="9"/>
      <c r="L8" s="9"/>
    </row>
    <row r="9" spans="1:12" ht="15">
      <c r="A9" s="390"/>
      <c r="B9" s="390" t="s">
        <v>6</v>
      </c>
      <c r="C9" s="24"/>
      <c r="D9" s="24"/>
      <c r="E9" s="24"/>
      <c r="F9" s="391"/>
      <c r="G9" s="392"/>
      <c r="H9" s="9"/>
      <c r="I9" s="9"/>
      <c r="J9" s="9"/>
      <c r="K9" s="9"/>
      <c r="L9" s="9"/>
    </row>
    <row r="10" spans="1:12" ht="15">
      <c r="A10" s="390"/>
      <c r="B10" s="390" t="s">
        <v>367</v>
      </c>
      <c r="C10" s="24"/>
      <c r="D10" s="24"/>
      <c r="E10" s="24"/>
      <c r="F10" s="391"/>
      <c r="G10" s="392"/>
      <c r="H10" s="9"/>
      <c r="I10" s="9"/>
      <c r="J10" s="9"/>
      <c r="K10" s="9"/>
      <c r="L10" s="9"/>
    </row>
    <row r="11" spans="1:12" ht="15">
      <c r="A11" s="390"/>
      <c r="B11" s="194" t="s">
        <v>447</v>
      </c>
      <c r="C11" s="24"/>
      <c r="D11" s="24"/>
      <c r="E11" s="24"/>
      <c r="F11" s="391"/>
      <c r="G11" s="392"/>
      <c r="H11" s="9"/>
      <c r="I11" s="9"/>
      <c r="J11" s="9"/>
      <c r="K11" s="9"/>
      <c r="L11" s="9"/>
    </row>
    <row r="12" spans="1:12" ht="15">
      <c r="A12" s="390"/>
      <c r="B12" s="194" t="s">
        <v>177</v>
      </c>
      <c r="C12" s="24"/>
      <c r="D12" s="24"/>
      <c r="E12" s="24"/>
      <c r="F12" s="391"/>
      <c r="G12" s="392"/>
      <c r="H12" s="9"/>
      <c r="I12" s="9"/>
      <c r="J12" s="9"/>
      <c r="K12" s="9"/>
      <c r="L12" s="9"/>
    </row>
    <row r="13" spans="1:12" ht="15">
      <c r="A13" s="393"/>
      <c r="B13" s="194" t="s">
        <v>178</v>
      </c>
      <c r="C13" s="394"/>
      <c r="D13" s="394"/>
      <c r="E13" s="394"/>
      <c r="F13" s="395"/>
      <c r="G13" s="396"/>
      <c r="H13" s="9"/>
      <c r="I13" s="397" t="s">
        <v>368</v>
      </c>
      <c r="J13" s="397"/>
      <c r="K13" s="398" t="str">
        <f>RESULTADOS!C4</f>
        <v>Sistema Convencional</v>
      </c>
      <c r="L13" s="397"/>
    </row>
    <row r="14" spans="1:12" ht="15">
      <c r="A14" s="390"/>
      <c r="B14" s="390"/>
      <c r="C14" s="24"/>
      <c r="D14" s="24"/>
      <c r="E14" s="24"/>
      <c r="F14" s="391"/>
      <c r="G14" s="392"/>
      <c r="H14" s="9"/>
      <c r="I14" s="9"/>
      <c r="J14" s="9"/>
      <c r="K14" s="9"/>
      <c r="L14" s="9"/>
    </row>
    <row r="15" spans="1:12" ht="15">
      <c r="A15" s="393">
        <v>2</v>
      </c>
      <c r="B15" s="393" t="s">
        <v>22</v>
      </c>
      <c r="C15" s="394"/>
      <c r="D15" s="24"/>
      <c r="E15" s="24"/>
      <c r="F15" s="391"/>
      <c r="G15" s="392"/>
      <c r="H15" s="9"/>
      <c r="I15" s="234" t="s">
        <v>323</v>
      </c>
      <c r="J15" s="9"/>
      <c r="K15" s="9"/>
      <c r="L15" s="234" t="s">
        <v>287</v>
      </c>
    </row>
    <row r="16" spans="1:18" ht="15">
      <c r="A16" s="390"/>
      <c r="B16" s="390"/>
      <c r="C16" s="24"/>
      <c r="D16" s="24"/>
      <c r="E16" s="24"/>
      <c r="F16" s="391"/>
      <c r="G16" s="392"/>
      <c r="H16" s="9"/>
      <c r="I16" s="399" t="s">
        <v>29</v>
      </c>
      <c r="J16" s="399" t="s">
        <v>181</v>
      </c>
      <c r="K16" s="400" t="s">
        <v>20</v>
      </c>
      <c r="L16" s="399" t="s">
        <v>29</v>
      </c>
      <c r="M16" s="399" t="s">
        <v>181</v>
      </c>
      <c r="N16" s="400" t="s">
        <v>20</v>
      </c>
      <c r="P16" s="772"/>
      <c r="Q16" s="772"/>
      <c r="R16" s="772"/>
    </row>
    <row r="17" spans="1:18" ht="30.75" customHeight="1">
      <c r="A17" s="390"/>
      <c r="B17" s="401" t="s">
        <v>179</v>
      </c>
      <c r="C17" s="402" t="s">
        <v>23</v>
      </c>
      <c r="D17" s="402" t="s">
        <v>180</v>
      </c>
      <c r="E17" s="402" t="s">
        <v>183</v>
      </c>
      <c r="F17" s="403" t="s">
        <v>182</v>
      </c>
      <c r="G17" s="404" t="s">
        <v>385</v>
      </c>
      <c r="H17" s="906" t="s">
        <v>24</v>
      </c>
      <c r="I17" s="906"/>
      <c r="J17" s="906"/>
      <c r="K17" s="906"/>
      <c r="L17" s="906"/>
      <c r="M17" s="906"/>
      <c r="N17" s="906"/>
      <c r="P17" s="775" t="s">
        <v>180</v>
      </c>
      <c r="Q17" s="775" t="s">
        <v>183</v>
      </c>
      <c r="R17" s="776" t="s">
        <v>182</v>
      </c>
    </row>
    <row r="18" spans="1:18" ht="15">
      <c r="A18" s="390"/>
      <c r="B18" s="390"/>
      <c r="C18" s="405">
        <f>IF(K13="Sistema Convencional",Entrada!E125,Entrada!K125)</f>
        <v>0.1</v>
      </c>
      <c r="D18" s="406">
        <f>P18</f>
        <v>882475.897294946</v>
      </c>
      <c r="E18" s="228">
        <f aca="true" t="shared" si="0" ref="E18:E38">Q18</f>
        <v>0.13311775404065163</v>
      </c>
      <c r="F18" s="407">
        <f aca="true" t="shared" si="1" ref="F18:F38">R18</f>
        <v>0.9568673808690958</v>
      </c>
      <c r="G18" s="408">
        <f>IF(Entrada!D16="Sistema Fotovoltaico",ROUND(G19*(1+C18),0),G19*(1+C18))</f>
        <v>23.893289037037036</v>
      </c>
      <c r="H18" s="409"/>
      <c r="I18" s="410"/>
      <c r="J18" s="410"/>
      <c r="K18" s="411"/>
      <c r="L18" s="410"/>
      <c r="M18" s="410"/>
      <c r="N18" s="411"/>
      <c r="P18" s="772">
        <v>882475.897294946</v>
      </c>
      <c r="Q18" s="772">
        <v>0.13311775404065163</v>
      </c>
      <c r="R18" s="772">
        <v>0.9568673808690958</v>
      </c>
    </row>
    <row r="19" spans="1:18" ht="15">
      <c r="A19" s="390"/>
      <c r="B19" s="390" t="str">
        <f>B7</f>
        <v>Precio de compra de energía</v>
      </c>
      <c r="C19" s="412">
        <v>0</v>
      </c>
      <c r="D19" s="406">
        <f aca="true" t="shared" si="2" ref="D19:D38">P19</f>
        <v>990995.7989144581</v>
      </c>
      <c r="E19" s="228">
        <f t="shared" si="0"/>
        <v>0.138153879106933</v>
      </c>
      <c r="F19" s="407">
        <f t="shared" si="1"/>
        <v>1.013969177142254</v>
      </c>
      <c r="G19" s="408">
        <f>IF(K13="Sistema Fotovoltaico",ROUND(Entrada!J92,0),TarC)</f>
        <v>21.72117185185185</v>
      </c>
      <c r="H19" s="773">
        <v>1</v>
      </c>
      <c r="I19" s="413">
        <f>'F7A'!C29</f>
        <v>990995.7989144581</v>
      </c>
      <c r="J19" s="414">
        <f>'F7A'!C30</f>
        <v>0.138153879106933</v>
      </c>
      <c r="K19" s="415">
        <f>'F8'!C49</f>
        <v>1.013969177142254</v>
      </c>
      <c r="L19" s="413">
        <f>'F7A'!D29</f>
        <v>-5106224.125039693</v>
      </c>
      <c r="M19" s="414">
        <f>'F7A'!D30</f>
        <v>0</v>
      </c>
      <c r="N19" s="415">
        <f>'F8'!J49</f>
        <v>1.0011623772401144</v>
      </c>
      <c r="P19" s="772">
        <v>990995.7989144581</v>
      </c>
      <c r="Q19" s="772">
        <v>0.138153879106933</v>
      </c>
      <c r="R19" s="772">
        <v>1.013969177142254</v>
      </c>
    </row>
    <row r="20" spans="1:18" ht="15">
      <c r="A20" s="390"/>
      <c r="B20" s="416" t="s">
        <v>386</v>
      </c>
      <c r="C20" s="417">
        <f>IF(K13="Sistema Convencional",Entrada!D125,Entrada!J125)</f>
        <v>-0.1</v>
      </c>
      <c r="D20" s="418">
        <f t="shared" si="2"/>
        <v>1089180.4718083018</v>
      </c>
      <c r="E20" s="419">
        <f t="shared" si="0"/>
        <v>0.14267116460161855</v>
      </c>
      <c r="F20" s="420">
        <f t="shared" si="1"/>
        <v>1.0783186725793796</v>
      </c>
      <c r="G20" s="421">
        <f>IF(Entrada!D16="Sistema Fotovoltaico",ROUND(G19*(1+C20),0),G19*(1+C20))</f>
        <v>19.549054666666667</v>
      </c>
      <c r="H20" s="774"/>
      <c r="I20" s="422"/>
      <c r="J20" s="410"/>
      <c r="K20" s="411"/>
      <c r="L20" s="422"/>
      <c r="M20" s="410"/>
      <c r="N20" s="411"/>
      <c r="P20" s="772">
        <v>1089180.4718083018</v>
      </c>
      <c r="Q20" s="772">
        <v>0.14267116460161855</v>
      </c>
      <c r="R20" s="772">
        <v>1.0783186725793796</v>
      </c>
    </row>
    <row r="21" spans="1:18" ht="15">
      <c r="A21" s="390"/>
      <c r="B21" s="121"/>
      <c r="C21" s="405">
        <f>IF(K13="Sistema Convencional",Entrada!E126,Entrada!K126)</f>
        <v>0.1</v>
      </c>
      <c r="D21" s="406">
        <f t="shared" si="2"/>
        <v>990995.7989144581</v>
      </c>
      <c r="E21" s="228">
        <f t="shared" si="0"/>
        <v>0.138153879106933</v>
      </c>
      <c r="F21" s="407">
        <f t="shared" si="1"/>
        <v>1.0996473706060703</v>
      </c>
      <c r="G21" s="408">
        <f>+G22*(1+C21)</f>
        <v>47.498000000000005</v>
      </c>
      <c r="H21" s="774"/>
      <c r="I21" s="9"/>
      <c r="J21" s="9"/>
      <c r="K21" s="9"/>
      <c r="L21" s="9"/>
      <c r="M21" s="9"/>
      <c r="N21" s="9"/>
      <c r="P21" s="772">
        <v>990995.7989144581</v>
      </c>
      <c r="Q21" s="772">
        <v>0.138153879106933</v>
      </c>
      <c r="R21" s="772">
        <v>1.0996473706060703</v>
      </c>
    </row>
    <row r="22" spans="1:18" ht="15">
      <c r="A22" s="390"/>
      <c r="B22" s="390" t="str">
        <f>B8</f>
        <v>Tarifa de venta de energía doméstico</v>
      </c>
      <c r="C22" s="412">
        <v>0</v>
      </c>
      <c r="D22" s="406">
        <f t="shared" si="2"/>
        <v>990995.7989144581</v>
      </c>
      <c r="E22" s="228">
        <f t="shared" si="0"/>
        <v>0.138153879106933</v>
      </c>
      <c r="F22" s="407">
        <f t="shared" si="1"/>
        <v>1.013969177142254</v>
      </c>
      <c r="G22" s="408">
        <f>IF(K13="Sistema Fotovoltaico",Entrada!J99,BT5R)</f>
        <v>43.18</v>
      </c>
      <c r="H22" s="773">
        <v>1</v>
      </c>
      <c r="I22" s="413">
        <f>'F7A'!C29</f>
        <v>990995.7989144581</v>
      </c>
      <c r="J22" s="414">
        <f>'F7A'!C30</f>
        <v>0.138153879106933</v>
      </c>
      <c r="K22" s="415">
        <f>'F8'!C49</f>
        <v>1.013969177142254</v>
      </c>
      <c r="L22" s="413">
        <f>'F7A'!D29</f>
        <v>-5106224.125039693</v>
      </c>
      <c r="M22" s="414">
        <f>'F7A'!D30</f>
        <v>0</v>
      </c>
      <c r="N22" s="415">
        <f>'F8'!J49</f>
        <v>1.0011623772401144</v>
      </c>
      <c r="P22" s="772">
        <v>990995.7989144581</v>
      </c>
      <c r="Q22" s="772">
        <v>0.138153879106933</v>
      </c>
      <c r="R22" s="772">
        <v>1.013969177142254</v>
      </c>
    </row>
    <row r="23" spans="1:18" ht="15">
      <c r="A23" s="390"/>
      <c r="B23" s="390" t="s">
        <v>388</v>
      </c>
      <c r="C23" s="405">
        <f>IF(K13="Sistema Convencional",Entrada!D126,Entrada!J126)</f>
        <v>-0.1</v>
      </c>
      <c r="D23" s="406">
        <f t="shared" si="2"/>
        <v>990995.7989144581</v>
      </c>
      <c r="E23" s="228">
        <f t="shared" si="0"/>
        <v>0.138153879106933</v>
      </c>
      <c r="F23" s="407">
        <f t="shared" si="1"/>
        <v>0.9282909836784381</v>
      </c>
      <c r="G23" s="421">
        <f>G22*(1+C23)</f>
        <v>38.862</v>
      </c>
      <c r="H23" s="774"/>
      <c r="I23" s="9"/>
      <c r="J23" s="9"/>
      <c r="K23" s="9"/>
      <c r="L23" s="9"/>
      <c r="M23" s="9"/>
      <c r="N23" s="9"/>
      <c r="P23" s="772">
        <v>990995.7989144581</v>
      </c>
      <c r="Q23" s="772">
        <v>0.138153879106933</v>
      </c>
      <c r="R23" s="772">
        <v>0.9282909836784381</v>
      </c>
    </row>
    <row r="24" spans="1:18" ht="15">
      <c r="A24" s="390"/>
      <c r="B24" s="117"/>
      <c r="C24" s="423">
        <f>IF(K13="Sistema Convencional",Entrada!E127,Entrada!K127)</f>
        <v>0.1</v>
      </c>
      <c r="D24" s="424">
        <f t="shared" si="2"/>
        <v>954363.3779963804</v>
      </c>
      <c r="E24" s="425">
        <f t="shared" si="0"/>
        <v>0.13642489681654446</v>
      </c>
      <c r="F24" s="426">
        <f t="shared" si="1"/>
        <v>0.9746664995458728</v>
      </c>
      <c r="G24" s="427">
        <f>+G25*(1+C24)</f>
        <v>0.0242</v>
      </c>
      <c r="H24" s="774"/>
      <c r="I24" s="9"/>
      <c r="J24" s="9"/>
      <c r="K24" s="9"/>
      <c r="L24" s="9"/>
      <c r="M24" s="9"/>
      <c r="N24" s="9"/>
      <c r="P24" s="772">
        <v>954363.3779963804</v>
      </c>
      <c r="Q24" s="772">
        <v>0.13642489681654446</v>
      </c>
      <c r="R24" s="772">
        <v>0.9746664995458728</v>
      </c>
    </row>
    <row r="25" spans="1:18" ht="15">
      <c r="A25" s="390"/>
      <c r="B25" s="390" t="str">
        <f>B9</f>
        <v>Costo de Operación y Mantenimiento</v>
      </c>
      <c r="C25" s="412">
        <v>0</v>
      </c>
      <c r="D25" s="406">
        <f t="shared" si="2"/>
        <v>990995.7989144581</v>
      </c>
      <c r="E25" s="228">
        <f t="shared" si="0"/>
        <v>0.138153879106933</v>
      </c>
      <c r="F25" s="407">
        <f t="shared" si="1"/>
        <v>1.013969177142254</v>
      </c>
      <c r="G25" s="427">
        <f>IF(K13="Sistema Fotovoltaico",CoymF,COyM)</f>
        <v>0.022</v>
      </c>
      <c r="H25" s="773">
        <v>1</v>
      </c>
      <c r="I25" s="413">
        <f>'F7A'!C29</f>
        <v>990995.7989144581</v>
      </c>
      <c r="J25" s="414">
        <f>'F7A'!C30</f>
        <v>0.138153879106933</v>
      </c>
      <c r="K25" s="415">
        <f>'F8'!C49</f>
        <v>1.013969177142254</v>
      </c>
      <c r="L25" s="413">
        <f>'F7A'!D29</f>
        <v>-5106224.125039693</v>
      </c>
      <c r="M25" s="414">
        <f>'F7A'!D30</f>
        <v>0</v>
      </c>
      <c r="N25" s="415">
        <f>'F8'!J49</f>
        <v>1.0011623772401144</v>
      </c>
      <c r="P25" s="772">
        <v>990995.7989144581</v>
      </c>
      <c r="Q25" s="772">
        <v>0.138153879106933</v>
      </c>
      <c r="R25" s="772">
        <v>1.013969177142254</v>
      </c>
    </row>
    <row r="26" spans="1:18" ht="15">
      <c r="A26" s="390"/>
      <c r="B26" s="416" t="s">
        <v>389</v>
      </c>
      <c r="C26" s="417">
        <f>IF(K13="Sistema Convencional",Entrada!D127,Entrada!J127)</f>
        <v>-0.1</v>
      </c>
      <c r="D26" s="418">
        <f t="shared" si="2"/>
        <v>1027628.2198325354</v>
      </c>
      <c r="E26" s="419">
        <f t="shared" si="0"/>
        <v>0.1398797755393555</v>
      </c>
      <c r="F26" s="420">
        <f t="shared" si="1"/>
        <v>1.0565747416581324</v>
      </c>
      <c r="G26" s="428">
        <f>G25*(1+C26)</f>
        <v>0.019799999999999998</v>
      </c>
      <c r="H26" s="774"/>
      <c r="I26" s="9"/>
      <c r="J26" s="9"/>
      <c r="K26" s="9"/>
      <c r="L26" s="9"/>
      <c r="M26" s="9"/>
      <c r="N26" s="9"/>
      <c r="P26" s="772">
        <v>1027628.2198325354</v>
      </c>
      <c r="Q26" s="772">
        <v>0.1398797755393555</v>
      </c>
      <c r="R26" s="772">
        <v>1.0565747416581324</v>
      </c>
    </row>
    <row r="27" spans="1:18" ht="15">
      <c r="A27" s="390"/>
      <c r="B27" s="117"/>
      <c r="C27" s="423">
        <f>IF(K13="Sistema Convencional",Entrada!E128,Entrada!K128)</f>
        <v>0.1</v>
      </c>
      <c r="D27" s="429">
        <f t="shared" si="2"/>
        <v>950154.821565792</v>
      </c>
      <c r="E27" s="430">
        <f t="shared" si="0"/>
        <v>0.13626744305042537</v>
      </c>
      <c r="F27" s="431">
        <f t="shared" si="1"/>
        <v>1.0499210675584905</v>
      </c>
      <c r="G27" s="408">
        <f>+G28*(1+C27)</f>
        <v>27.500000000000004</v>
      </c>
      <c r="H27" s="774"/>
      <c r="I27" s="9"/>
      <c r="J27" s="9"/>
      <c r="K27" s="9"/>
      <c r="L27" s="9"/>
      <c r="M27" s="9"/>
      <c r="N27" s="9"/>
      <c r="P27" s="772">
        <v>950154.821565792</v>
      </c>
      <c r="Q27" s="772">
        <v>0.13626744305042537</v>
      </c>
      <c r="R27" s="772">
        <v>1.0499210675584905</v>
      </c>
    </row>
    <row r="28" spans="1:18" ht="15">
      <c r="A28" s="390"/>
      <c r="B28" s="390" t="str">
        <f>B10</f>
        <v>Consumo de Energía por Abonado Domestico</v>
      </c>
      <c r="C28" s="412">
        <v>0</v>
      </c>
      <c r="D28" s="406">
        <f t="shared" si="2"/>
        <v>990995.7989144581</v>
      </c>
      <c r="E28" s="228">
        <f t="shared" si="0"/>
        <v>0.138153879106933</v>
      </c>
      <c r="F28" s="407">
        <f t="shared" si="1"/>
        <v>1.013969177142254</v>
      </c>
      <c r="G28" s="408">
        <f>'F2'!P20</f>
        <v>25</v>
      </c>
      <c r="H28" s="773">
        <v>1</v>
      </c>
      <c r="I28" s="413">
        <f>'F7A'!C29</f>
        <v>990995.7989144581</v>
      </c>
      <c r="J28" s="414">
        <f>'F7A'!C30</f>
        <v>0.138153879106933</v>
      </c>
      <c r="K28" s="415">
        <f>'F8'!C49</f>
        <v>1.013969177142254</v>
      </c>
      <c r="L28" s="413">
        <f>'F7A'!D29</f>
        <v>-5106224.125039693</v>
      </c>
      <c r="M28" s="414">
        <f>'F7A'!D30</f>
        <v>0</v>
      </c>
      <c r="N28" s="415">
        <f>'F8'!J49</f>
        <v>1.0011623772401144</v>
      </c>
      <c r="P28" s="772">
        <v>990995.7989144581</v>
      </c>
      <c r="Q28" s="772">
        <v>0.138153879106933</v>
      </c>
      <c r="R28" s="772">
        <v>1.013969177142254</v>
      </c>
    </row>
    <row r="29" spans="1:18" ht="15">
      <c r="A29" s="390"/>
      <c r="B29" s="416" t="s">
        <v>390</v>
      </c>
      <c r="C29" s="417">
        <f>IF(K13="Sistema Convencional",Entrada!D128,Entrada!J128)</f>
        <v>-0.1</v>
      </c>
      <c r="D29" s="418">
        <f t="shared" si="2"/>
        <v>1031836.7762631252</v>
      </c>
      <c r="E29" s="419">
        <f t="shared" si="0"/>
        <v>0.14003366160003394</v>
      </c>
      <c r="F29" s="420">
        <f t="shared" si="1"/>
        <v>0.9744424737767717</v>
      </c>
      <c r="G29" s="421">
        <f>G28*(1+C29)</f>
        <v>22.5</v>
      </c>
      <c r="H29" s="774"/>
      <c r="I29" s="9"/>
      <c r="J29" s="9"/>
      <c r="K29" s="9"/>
      <c r="L29" s="9"/>
      <c r="M29" s="9"/>
      <c r="N29" s="9"/>
      <c r="P29" s="772">
        <v>1031836.7762631252</v>
      </c>
      <c r="Q29" s="772">
        <v>0.14003366160003394</v>
      </c>
      <c r="R29" s="772">
        <v>0.9744424737767717</v>
      </c>
    </row>
    <row r="30" spans="1:18" ht="15">
      <c r="A30" s="390"/>
      <c r="B30" s="117"/>
      <c r="C30" s="423">
        <f>IF(K13="Sistema Convencional",Entrada!E129,Entrada!K129)</f>
        <v>0.1</v>
      </c>
      <c r="D30" s="424">
        <f t="shared" si="2"/>
        <v>623071.3271105471</v>
      </c>
      <c r="E30" s="425">
        <f t="shared" si="0"/>
        <v>0.11805942896935173</v>
      </c>
      <c r="F30" s="426">
        <f t="shared" si="1"/>
        <v>0.9746664995458728</v>
      </c>
      <c r="G30" s="432">
        <f>+G31*(1+C30)</f>
        <v>3195603.4773555202</v>
      </c>
      <c r="H30" s="774"/>
      <c r="I30" s="9"/>
      <c r="J30" s="9"/>
      <c r="K30" s="9"/>
      <c r="L30" s="9"/>
      <c r="M30" s="9"/>
      <c r="N30" s="9"/>
      <c r="P30" s="772">
        <v>623071.3271105471</v>
      </c>
      <c r="Q30" s="772">
        <v>0.11805942896935173</v>
      </c>
      <c r="R30" s="772">
        <v>0.9746664995458728</v>
      </c>
    </row>
    <row r="31" spans="1:18" ht="15">
      <c r="A31" s="390"/>
      <c r="B31" s="390" t="str">
        <f>B11</f>
        <v>Inversión a precios privados</v>
      </c>
      <c r="C31" s="412">
        <v>0</v>
      </c>
      <c r="D31" s="406">
        <f t="shared" si="2"/>
        <v>990995.7989144581</v>
      </c>
      <c r="E31" s="228">
        <f t="shared" si="0"/>
        <v>0.138153879106933</v>
      </c>
      <c r="F31" s="407">
        <f t="shared" si="1"/>
        <v>1.013969177142254</v>
      </c>
      <c r="G31" s="432">
        <f>IF(K13="Sistema Fotovoltaico",'F5-SF'!D47,'F5-SC'!C45)</f>
        <v>2905094.0703232</v>
      </c>
      <c r="H31" s="773">
        <v>1</v>
      </c>
      <c r="I31" s="413">
        <f>'F7A'!C29</f>
        <v>990995.7989144581</v>
      </c>
      <c r="J31" s="414">
        <f>'F7A'!C30</f>
        <v>0.138153879106933</v>
      </c>
      <c r="K31" s="415">
        <f>'F8'!C49</f>
        <v>1.013969177142254</v>
      </c>
      <c r="L31" s="413">
        <f>'F7A'!D29</f>
        <v>-5106224.125039693</v>
      </c>
      <c r="M31" s="414">
        <f>'F7A'!D30</f>
        <v>0</v>
      </c>
      <c r="N31" s="415">
        <f>'F8'!J49</f>
        <v>1.0011623772401144</v>
      </c>
      <c r="P31" s="772">
        <v>990995.7989144581</v>
      </c>
      <c r="Q31" s="772">
        <v>0.138153879106933</v>
      </c>
      <c r="R31" s="772">
        <v>1.013969177142254</v>
      </c>
    </row>
    <row r="32" spans="1:18" ht="15">
      <c r="A32" s="390"/>
      <c r="B32" s="416" t="s">
        <v>391</v>
      </c>
      <c r="C32" s="417">
        <f>IF(K13="Sistema Convencional",Entrada!D129,Entrada!J129)</f>
        <v>-0.1</v>
      </c>
      <c r="D32" s="418">
        <f t="shared" si="2"/>
        <v>1351593.7865347536</v>
      </c>
      <c r="E32" s="419">
        <f t="shared" si="0"/>
        <v>0.1615527207778198</v>
      </c>
      <c r="F32" s="420">
        <f t="shared" si="1"/>
        <v>1.0565747416581324</v>
      </c>
      <c r="G32" s="433">
        <f>G31*(1+C32)</f>
        <v>2614584.66329088</v>
      </c>
      <c r="H32" s="774"/>
      <c r="I32" s="9"/>
      <c r="J32" s="9"/>
      <c r="K32" s="9"/>
      <c r="L32" s="9"/>
      <c r="M32" s="9"/>
      <c r="N32" s="9"/>
      <c r="P32" s="772">
        <v>1351593.7865347536</v>
      </c>
      <c r="Q32" s="772">
        <v>0.1615527207778198</v>
      </c>
      <c r="R32" s="772">
        <v>1.0565747416581324</v>
      </c>
    </row>
    <row r="33" spans="1:18" ht="15">
      <c r="A33" s="390"/>
      <c r="B33" s="117"/>
      <c r="C33" s="423">
        <f>IF(K13="Sistema Convencional",Entrada!E130,Entrada!K130)</f>
        <v>0.1</v>
      </c>
      <c r="D33" s="424">
        <f t="shared" si="2"/>
        <v>1241613.452049023</v>
      </c>
      <c r="E33" s="425">
        <f t="shared" si="0"/>
        <v>0.14971230600598284</v>
      </c>
      <c r="F33" s="426">
        <f t="shared" si="1"/>
        <v>1.013969177142254</v>
      </c>
      <c r="G33" s="434">
        <f>+G34*(1+C33)</f>
        <v>504.724</v>
      </c>
      <c r="H33" s="774"/>
      <c r="I33" s="9"/>
      <c r="J33" s="9"/>
      <c r="K33" s="9"/>
      <c r="L33" s="9"/>
      <c r="M33" s="9"/>
      <c r="N33" s="9"/>
      <c r="P33" s="772">
        <v>1241613.452049023</v>
      </c>
      <c r="Q33" s="772">
        <v>0.14971230600598284</v>
      </c>
      <c r="R33" s="772">
        <v>1.013969177142254</v>
      </c>
    </row>
    <row r="34" spans="1:18" ht="15">
      <c r="A34" s="390"/>
      <c r="B34" s="390" t="str">
        <f>B12</f>
        <v>Beneficio social por iluminación</v>
      </c>
      <c r="C34" s="412">
        <v>0</v>
      </c>
      <c r="D34" s="406">
        <f t="shared" si="2"/>
        <v>990995.7989144581</v>
      </c>
      <c r="E34" s="228">
        <f t="shared" si="0"/>
        <v>0.138153879106933</v>
      </c>
      <c r="F34" s="407">
        <f t="shared" si="1"/>
        <v>1.013969177142254</v>
      </c>
      <c r="G34" s="434">
        <f>IF(K13="Sistema Fotovoltaico",'F6A-SF'!L33,'F6A-SC'!L33)</f>
        <v>458.84</v>
      </c>
      <c r="H34" s="773">
        <v>1</v>
      </c>
      <c r="I34" s="413">
        <f>'F7A'!C29</f>
        <v>990995.7989144581</v>
      </c>
      <c r="J34" s="414">
        <f>'F7A'!C30</f>
        <v>0.138153879106933</v>
      </c>
      <c r="K34" s="415">
        <f>'F8'!C49</f>
        <v>1.013969177142254</v>
      </c>
      <c r="L34" s="413">
        <f>'F7A'!D29</f>
        <v>-5106224.125039693</v>
      </c>
      <c r="M34" s="414">
        <f>'F7A'!D30</f>
        <v>0</v>
      </c>
      <c r="N34" s="415">
        <f>'F8'!J49</f>
        <v>1.0011623772401144</v>
      </c>
      <c r="P34" s="772">
        <v>990995.7989144581</v>
      </c>
      <c r="Q34" s="772">
        <v>0.138153879106933</v>
      </c>
      <c r="R34" s="772">
        <v>1.013969177142254</v>
      </c>
    </row>
    <row r="35" spans="1:18" ht="15">
      <c r="A35" s="390"/>
      <c r="B35" s="416" t="s">
        <v>392</v>
      </c>
      <c r="C35" s="417">
        <f>IF(K13="Sistema Convencional",Entrada!D130,Entrada!J130)</f>
        <v>-0.1</v>
      </c>
      <c r="D35" s="418">
        <f t="shared" si="2"/>
        <v>740378.1457798928</v>
      </c>
      <c r="E35" s="419">
        <f t="shared" si="0"/>
        <v>0.1263851381627039</v>
      </c>
      <c r="F35" s="420">
        <f t="shared" si="1"/>
        <v>1.013969177142254</v>
      </c>
      <c r="G35" s="435">
        <f>G34*(1+C35)</f>
        <v>412.95599999999996</v>
      </c>
      <c r="H35" s="774"/>
      <c r="I35" s="9"/>
      <c r="J35" s="9"/>
      <c r="K35" s="9"/>
      <c r="L35" s="9"/>
      <c r="M35" s="9"/>
      <c r="N35" s="9"/>
      <c r="P35" s="772">
        <v>740378.1457798928</v>
      </c>
      <c r="Q35" s="772">
        <v>0.1263851381627039</v>
      </c>
      <c r="R35" s="772">
        <v>1.013969177142254</v>
      </c>
    </row>
    <row r="36" spans="1:18" ht="15">
      <c r="A36" s="390"/>
      <c r="B36" s="117"/>
      <c r="C36" s="423">
        <f>IF(K13="Sistema Convencional",Entrada!E131,Entrada!K131)</f>
        <v>0.1</v>
      </c>
      <c r="D36" s="424">
        <f t="shared" si="2"/>
        <v>1133072.9149753144</v>
      </c>
      <c r="E36" s="425">
        <f t="shared" si="0"/>
        <v>0.14473019553801492</v>
      </c>
      <c r="F36" s="426">
        <f t="shared" si="1"/>
        <v>1.013969177142254</v>
      </c>
      <c r="G36" s="434">
        <f>+G37*(1+C36)</f>
        <v>286.132</v>
      </c>
      <c r="H36" s="774"/>
      <c r="I36" s="9"/>
      <c r="J36" s="9"/>
      <c r="K36" s="9"/>
      <c r="L36" s="9"/>
      <c r="M36" s="9"/>
      <c r="N36" s="9"/>
      <c r="P36" s="772">
        <v>1133072.9149753144</v>
      </c>
      <c r="Q36" s="772">
        <v>0.14473019553801492</v>
      </c>
      <c r="R36" s="772">
        <v>1.013969177142254</v>
      </c>
    </row>
    <row r="37" spans="1:18" ht="15">
      <c r="A37" s="390"/>
      <c r="B37" s="390" t="str">
        <f>B13</f>
        <v>Beneficio social por por Radio y TV</v>
      </c>
      <c r="C37" s="412">
        <v>0</v>
      </c>
      <c r="D37" s="406">
        <f t="shared" si="2"/>
        <v>990995.7989144581</v>
      </c>
      <c r="E37" s="228">
        <f t="shared" si="0"/>
        <v>0.138153879106933</v>
      </c>
      <c r="F37" s="407">
        <f t="shared" si="1"/>
        <v>1.013969177142254</v>
      </c>
      <c r="G37" s="434">
        <f>IF(K13="Sistema Fotovoltaico",'F6A-SF'!L34,'F6A-SC'!L34)</f>
        <v>260.12</v>
      </c>
      <c r="H37" s="773">
        <v>1</v>
      </c>
      <c r="I37" s="413">
        <f>'F7A'!C29</f>
        <v>990995.7989144581</v>
      </c>
      <c r="J37" s="414">
        <f>'F7A'!C30</f>
        <v>0.138153879106933</v>
      </c>
      <c r="K37" s="415">
        <f>'F8'!C49</f>
        <v>1.013969177142254</v>
      </c>
      <c r="L37" s="413">
        <f>'F7A'!D29</f>
        <v>-5106224.125039693</v>
      </c>
      <c r="M37" s="414">
        <f>'F7A'!D30</f>
        <v>0</v>
      </c>
      <c r="N37" s="415">
        <f>'F8'!J49</f>
        <v>1.0011623772401144</v>
      </c>
      <c r="P37" s="772">
        <v>990995.7989144581</v>
      </c>
      <c r="Q37" s="772">
        <v>0.138153879106933</v>
      </c>
      <c r="R37" s="772">
        <v>1.013969177142254</v>
      </c>
    </row>
    <row r="38" spans="1:18" ht="15">
      <c r="A38" s="390"/>
      <c r="B38" s="416" t="s">
        <v>392</v>
      </c>
      <c r="C38" s="417">
        <f>IF(K13="Sistema Convencional",Entrada!D131,Entrada!J131)</f>
        <v>-0.1</v>
      </c>
      <c r="D38" s="418">
        <f t="shared" si="2"/>
        <v>848918.6828536019</v>
      </c>
      <c r="E38" s="419">
        <f t="shared" si="0"/>
        <v>0.13151008143685927</v>
      </c>
      <c r="F38" s="420">
        <f t="shared" si="1"/>
        <v>1.013969177142254</v>
      </c>
      <c r="G38" s="435">
        <f>G37*(1+C38)</f>
        <v>234.108</v>
      </c>
      <c r="H38" s="9"/>
      <c r="I38" s="9"/>
      <c r="J38" s="9"/>
      <c r="K38" s="9"/>
      <c r="L38" s="9"/>
      <c r="P38" s="772">
        <v>848918.6828536019</v>
      </c>
      <c r="Q38" s="772">
        <v>0.13151008143685927</v>
      </c>
      <c r="R38" s="772">
        <v>1.013969177142254</v>
      </c>
    </row>
    <row r="39" spans="1:18" ht="15.75" thickBot="1">
      <c r="A39" s="390"/>
      <c r="B39" s="436"/>
      <c r="C39" s="437"/>
      <c r="D39" s="437"/>
      <c r="E39" s="437"/>
      <c r="F39" s="438"/>
      <c r="G39" s="439"/>
      <c r="H39" s="9"/>
      <c r="I39" s="9"/>
      <c r="J39" s="9"/>
      <c r="K39" s="9"/>
      <c r="L39" s="9"/>
      <c r="P39" s="772"/>
      <c r="Q39" s="772"/>
      <c r="R39" s="772"/>
    </row>
    <row r="40" spans="1:12" ht="15">
      <c r="A40" s="15"/>
      <c r="B40" s="9"/>
      <c r="C40" s="9"/>
      <c r="D40" s="9"/>
      <c r="E40" s="9"/>
      <c r="F40" s="387"/>
      <c r="G40" s="9"/>
      <c r="H40" s="9"/>
      <c r="I40" s="9"/>
      <c r="J40" s="9"/>
      <c r="K40" s="9"/>
      <c r="L40" s="9"/>
    </row>
  </sheetData>
  <sheetProtection password="FFA0" sheet="1" objects="1" scenarios="1"/>
  <mergeCells count="3">
    <mergeCell ref="H17:N17"/>
    <mergeCell ref="B3:G3"/>
    <mergeCell ref="B4:G4"/>
  </mergeCells>
  <conditionalFormatting sqref="D18:D38">
    <cfRule type="cellIs" priority="7" dxfId="32" operator="lessThan" stopIfTrue="1">
      <formula>0</formula>
    </cfRule>
  </conditionalFormatting>
  <conditionalFormatting sqref="E18:E38">
    <cfRule type="cellIs" priority="6" dxfId="32" operator="lessThan" stopIfTrue="1">
      <formula>0.1</formula>
    </cfRule>
  </conditionalFormatting>
  <conditionalFormatting sqref="F18:F38">
    <cfRule type="cellIs" priority="4" dxfId="32" operator="lessThan" stopIfTrue="1">
      <formula>1</formula>
    </cfRule>
    <cfRule type="cellIs" priority="5" dxfId="0" operator="lessThanOrEqual" stopIfTrue="1">
      <formula>1</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portrait" paperSize="9" scale="88" r:id="rId2"/>
  <drawing r:id="rId1"/>
</worksheet>
</file>

<file path=xl/worksheets/sheet3.xml><?xml version="1.0" encoding="utf-8"?>
<worksheet xmlns="http://schemas.openxmlformats.org/spreadsheetml/2006/main" xmlns:r="http://schemas.openxmlformats.org/officeDocument/2006/relationships">
  <sheetPr codeName="Hoja8"/>
  <dimension ref="B4:C21"/>
  <sheetViews>
    <sheetView showGridLines="0" showRowColHeaders="0" zoomScalePageLayoutView="0" workbookViewId="0" topLeftCell="A1">
      <pane ySplit="4" topLeftCell="A5" activePane="bottomLeft" state="frozen"/>
      <selection pane="topLeft" activeCell="K132" sqref="K132"/>
      <selection pane="bottomLeft" activeCell="B20" sqref="B20"/>
    </sheetView>
  </sheetViews>
  <sheetFormatPr defaultColWidth="11.421875" defaultRowHeight="15"/>
  <cols>
    <col min="1" max="1" width="11.421875" style="234" customWidth="1"/>
    <col min="2" max="2" width="8.00390625" style="234" customWidth="1"/>
    <col min="3" max="3" width="86.7109375" style="234" customWidth="1"/>
    <col min="4" max="16384" width="11.421875" style="234" customWidth="1"/>
  </cols>
  <sheetData>
    <row r="4" spans="2:3" ht="15.75">
      <c r="B4" s="831" t="s">
        <v>366</v>
      </c>
      <c r="C4" s="832"/>
    </row>
    <row r="6" spans="2:3" ht="18.75" customHeight="1">
      <c r="B6" s="226" t="s">
        <v>324</v>
      </c>
      <c r="C6" s="695" t="s">
        <v>265</v>
      </c>
    </row>
    <row r="7" spans="2:3" ht="18.75" customHeight="1">
      <c r="B7" s="226" t="s">
        <v>325</v>
      </c>
      <c r="C7" s="695" t="s">
        <v>108</v>
      </c>
    </row>
    <row r="8" spans="2:3" ht="18.75" customHeight="1">
      <c r="B8" s="226" t="s">
        <v>329</v>
      </c>
      <c r="C8" s="695" t="s">
        <v>335</v>
      </c>
    </row>
    <row r="9" spans="2:3" ht="18.75" customHeight="1">
      <c r="B9" s="226" t="s">
        <v>330</v>
      </c>
      <c r="C9" s="695" t="s">
        <v>336</v>
      </c>
    </row>
    <row r="10" spans="2:3" ht="18.75" customHeight="1">
      <c r="B10" s="226" t="s">
        <v>331</v>
      </c>
      <c r="C10" s="695" t="s">
        <v>338</v>
      </c>
    </row>
    <row r="11" spans="2:3" ht="18.75" customHeight="1">
      <c r="B11" s="226" t="s">
        <v>332</v>
      </c>
      <c r="C11" s="695" t="s">
        <v>340</v>
      </c>
    </row>
    <row r="12" spans="2:3" ht="18.75" customHeight="1">
      <c r="B12" s="226" t="s">
        <v>333</v>
      </c>
      <c r="C12" s="695" t="s">
        <v>341</v>
      </c>
    </row>
    <row r="13" spans="2:3" ht="18.75" customHeight="1">
      <c r="B13" s="226" t="s">
        <v>334</v>
      </c>
      <c r="C13" s="695" t="s">
        <v>342</v>
      </c>
    </row>
    <row r="14" spans="2:3" ht="18.75" customHeight="1">
      <c r="B14" s="226" t="s">
        <v>344</v>
      </c>
      <c r="C14" s="695" t="s">
        <v>343</v>
      </c>
    </row>
    <row r="15" spans="2:3" ht="18.75" customHeight="1">
      <c r="B15" s="226" t="s">
        <v>345</v>
      </c>
      <c r="C15" s="695" t="s">
        <v>342</v>
      </c>
    </row>
    <row r="16" spans="2:3" ht="18.75" customHeight="1">
      <c r="B16" s="226" t="s">
        <v>347</v>
      </c>
      <c r="C16" s="695" t="s">
        <v>350</v>
      </c>
    </row>
    <row r="17" spans="2:3" ht="18.75" customHeight="1">
      <c r="B17" s="226" t="s">
        <v>348</v>
      </c>
      <c r="C17" s="695" t="s">
        <v>351</v>
      </c>
    </row>
    <row r="18" spans="2:3" ht="18.75" customHeight="1">
      <c r="B18" s="226" t="s">
        <v>326</v>
      </c>
      <c r="C18" s="695" t="s">
        <v>353</v>
      </c>
    </row>
    <row r="19" spans="2:3" ht="18.75" customHeight="1">
      <c r="B19" s="226" t="s">
        <v>346</v>
      </c>
      <c r="C19" s="695" t="s">
        <v>355</v>
      </c>
    </row>
    <row r="20" spans="2:3" ht="18.75" customHeight="1">
      <c r="B20" s="226" t="s">
        <v>327</v>
      </c>
      <c r="C20" s="695" t="s">
        <v>30</v>
      </c>
    </row>
    <row r="21" spans="2:3" ht="18.75" customHeight="1">
      <c r="B21" s="226" t="s">
        <v>328</v>
      </c>
      <c r="C21" s="695" t="s">
        <v>229</v>
      </c>
    </row>
  </sheetData>
  <sheetProtection password="FFA0" sheet="1" objects="1"/>
  <mergeCells count="1">
    <mergeCell ref="B4:C4"/>
  </mergeCells>
  <hyperlinks>
    <hyperlink ref="B7" location="'F2'!A1" display="F2"/>
    <hyperlink ref="B6" location="'F1'!A1" display="F1"/>
    <hyperlink ref="B8" location="'F3-SC'!A1" display="F3-SC"/>
    <hyperlink ref="B9" location="'F3-SF'!A1" display="F3-SF"/>
    <hyperlink ref="B10" location="'F4-SC'!A1" display="F4-SC"/>
    <hyperlink ref="B11" location="'F4-SF'!A1" display="F4-SF"/>
    <hyperlink ref="B12" location="'F5-SC'!A1" display="F5-SC"/>
    <hyperlink ref="B13" location="'F5-SF'!A1" display="F5-SF"/>
    <hyperlink ref="B14" location="'F5A-SC'!A1" display="F5A-SC"/>
    <hyperlink ref="B15" location="'F5A-SF'!A1" display="F5A-SF"/>
    <hyperlink ref="B16" location="'F6-SC'!A1" display="F6-SC"/>
    <hyperlink ref="B17" location="'F6-SF'!A1" display="F6-SF"/>
    <hyperlink ref="B18" location="'F7'!A1" display="F7"/>
    <hyperlink ref="B19" location="'F7A'!A1" display="F7A"/>
    <hyperlink ref="B20" location="'F8'!A1" display="F8"/>
    <hyperlink ref="B21" location="'F9'!A1" display="F9"/>
  </hyperlink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codeName="Hoja7">
    <pageSetUpPr fitToPage="1"/>
  </sheetPr>
  <dimension ref="A2:E51"/>
  <sheetViews>
    <sheetView showGridLines="0" showZeros="0" zoomScaleSheetLayoutView="100" workbookViewId="0" topLeftCell="A1">
      <pane ySplit="3" topLeftCell="A4" activePane="bottomLeft" state="frozen"/>
      <selection pane="topLeft" activeCell="K132" sqref="K132"/>
      <selection pane="bottomLeft" activeCell="G10" sqref="G10"/>
    </sheetView>
  </sheetViews>
  <sheetFormatPr defaultColWidth="9.140625" defaultRowHeight="15"/>
  <cols>
    <col min="1" max="1" width="2.28125" style="665" customWidth="1"/>
    <col min="2" max="2" width="5.57421875" style="665" customWidth="1"/>
    <col min="3" max="3" width="23.7109375" style="665" customWidth="1"/>
    <col min="4" max="4" width="3.8515625" style="665" customWidth="1"/>
    <col min="5" max="5" width="55.28125" style="234" customWidth="1"/>
    <col min="6" max="6" width="14.28125" style="234" customWidth="1"/>
    <col min="7" max="16384" width="9.140625" style="234" customWidth="1"/>
  </cols>
  <sheetData>
    <row r="1" ht="28.5" customHeight="1" thickBot="1"/>
    <row r="2" spans="2:5" ht="15.75">
      <c r="B2" s="837" t="s">
        <v>271</v>
      </c>
      <c r="C2" s="838"/>
      <c r="D2" s="838"/>
      <c r="E2" s="839"/>
    </row>
    <row r="3" spans="2:5" ht="16.5" thickBot="1">
      <c r="B3" s="840" t="s">
        <v>265</v>
      </c>
      <c r="C3" s="841"/>
      <c r="D3" s="841"/>
      <c r="E3" s="842"/>
    </row>
    <row r="4" spans="2:4" ht="9" customHeight="1" thickBot="1">
      <c r="B4" s="666"/>
      <c r="C4" s="666"/>
      <c r="D4" s="666"/>
    </row>
    <row r="5" spans="1:5" ht="26.25" customHeight="1">
      <c r="A5" s="667"/>
      <c r="B5" s="843" t="s">
        <v>266</v>
      </c>
      <c r="C5" s="844"/>
      <c r="D5" s="844"/>
      <c r="E5" s="845"/>
    </row>
    <row r="6" spans="1:5" ht="26.25" customHeight="1">
      <c r="A6" s="667"/>
      <c r="B6" s="668" t="s">
        <v>259</v>
      </c>
      <c r="C6" s="669" t="s">
        <v>260</v>
      </c>
      <c r="D6" s="833" t="s">
        <v>272</v>
      </c>
      <c r="E6" s="834"/>
    </row>
    <row r="7" spans="1:5" ht="15">
      <c r="A7" s="667"/>
      <c r="B7" s="670"/>
      <c r="C7" s="671"/>
      <c r="D7" s="672" t="s">
        <v>322</v>
      </c>
      <c r="E7" s="673"/>
    </row>
    <row r="8" spans="1:5" ht="15">
      <c r="A8" s="667"/>
      <c r="B8" s="674">
        <v>1</v>
      </c>
      <c r="C8" s="675" t="s">
        <v>261</v>
      </c>
      <c r="D8" s="676" t="str">
        <f>+"Derivaciones de Línea"&amp;IF(Entrada!D118&gt;0," 3ø - "&amp;ROUND(Entrada!D118,2)&amp;" km; ","")&amp;IF(Entrada!D119&gt;0," 2ø - "&amp;ROUND(Entrada!D119,2)&amp;" km;","")&amp;IF(Entrada!D120&gt;0," 1ø-MRT - "&amp;ROUND(Entrada!D120,2)&amp;" km","")&amp;IF(Entrada!F117&gt;1,"; Con unTotal: "&amp;ROUND(Entrada!D117,2)&amp;" km","")</f>
        <v>Derivaciones de Línea 1ø-MRT - 28.11 km</v>
      </c>
      <c r="E8" s="673"/>
    </row>
    <row r="9" spans="1:5" ht="15">
      <c r="A9" s="667"/>
      <c r="B9" s="674">
        <f>+B8+1</f>
        <v>2</v>
      </c>
      <c r="C9" s="675" t="s">
        <v>262</v>
      </c>
      <c r="D9" s="676" t="str">
        <f>"Redes Primarias para "&amp;Entrada!D115&amp;" Abonados"</f>
        <v>Redes Primarias para 546 Abonados</v>
      </c>
      <c r="E9" s="673"/>
    </row>
    <row r="10" spans="1:5" ht="15">
      <c r="A10" s="667"/>
      <c r="B10" s="674">
        <f>+B9+1</f>
        <v>3</v>
      </c>
      <c r="C10" s="675" t="s">
        <v>263</v>
      </c>
      <c r="D10" s="676" t="str">
        <f>"Redes Secundarias para "&amp;Entrada!D115&amp;" Abonados"</f>
        <v>Redes Secundarias para 546 Abonados</v>
      </c>
      <c r="E10" s="673"/>
    </row>
    <row r="11" spans="1:5" ht="15">
      <c r="A11" s="667"/>
      <c r="B11" s="674">
        <f>+B10+1</f>
        <v>4</v>
      </c>
      <c r="C11" s="675" t="s">
        <v>264</v>
      </c>
      <c r="D11" s="676" t="str">
        <f>Entrada!D122&amp;" "&amp;"Subestaciones de Distribucion Monofásicas con capacidad total de "&amp;Entrada!D121&amp;" kW"</f>
        <v>31 Subestaciones de Distribucion Monofásicas con capacidad total de 268 kW</v>
      </c>
      <c r="E11" s="673"/>
    </row>
    <row r="12" spans="1:5" ht="15">
      <c r="A12" s="667"/>
      <c r="B12" s="674">
        <f>+B11+1</f>
        <v>5</v>
      </c>
      <c r="C12" s="675" t="s">
        <v>238</v>
      </c>
      <c r="D12" s="676" t="str">
        <f>Entrada!D115&amp;" "&amp;"Abonados"&amp;" (al Año "&amp;Entrada!D5&amp;")"</f>
        <v>546 Abonados (al Año 2011)</v>
      </c>
      <c r="E12" s="673"/>
    </row>
    <row r="13" spans="1:5" ht="15">
      <c r="A13" s="667"/>
      <c r="B13" s="670"/>
      <c r="C13" s="677"/>
      <c r="D13" s="678"/>
      <c r="E13" s="673"/>
    </row>
    <row r="14" spans="1:5" ht="15">
      <c r="A14" s="667"/>
      <c r="B14" s="670"/>
      <c r="C14" s="671"/>
      <c r="D14" s="672" t="s">
        <v>322</v>
      </c>
      <c r="E14" s="673"/>
    </row>
    <row r="15" spans="1:5" ht="26.25" customHeight="1">
      <c r="A15" s="667"/>
      <c r="B15" s="674">
        <v>1</v>
      </c>
      <c r="C15" s="675" t="s">
        <v>297</v>
      </c>
      <c r="D15" s="835" t="str">
        <f>Entrada!J118&amp;" Modulos Fotovoltaicos, equipados con paneles solares, baterias, controladores, tableros y accesorios"</f>
        <v>546 Modulos Fotovoltaicos, equipados con paneles solares, baterias, controladores, tableros y accesorios</v>
      </c>
      <c r="E15" s="836"/>
    </row>
    <row r="16" spans="1:5" ht="15">
      <c r="A16" s="667"/>
      <c r="B16" s="674"/>
      <c r="C16" s="675"/>
      <c r="D16" s="679" t="str">
        <f>Entrada!G29</f>
        <v>Uso Doméstico</v>
      </c>
      <c r="E16" s="680"/>
    </row>
    <row r="17" spans="1:5" ht="15">
      <c r="A17" s="667"/>
      <c r="B17" s="674"/>
      <c r="C17" s="675"/>
      <c r="D17" s="681">
        <f>Entrada!J31</f>
        <v>1</v>
      </c>
      <c r="E17" s="682" t="str">
        <f>Entrada!G31</f>
        <v>Panel solar de 100 Wp</v>
      </c>
    </row>
    <row r="18" spans="1:5" ht="15">
      <c r="A18" s="667"/>
      <c r="B18" s="674"/>
      <c r="C18" s="675"/>
      <c r="D18" s="681">
        <f>Entrada!J32</f>
        <v>1</v>
      </c>
      <c r="E18" s="682" t="str">
        <f>Entrada!G32</f>
        <v>Regulador de carga de 10 A</v>
      </c>
    </row>
    <row r="19" spans="1:5" ht="15">
      <c r="A19" s="667"/>
      <c r="B19" s="674"/>
      <c r="C19" s="675"/>
      <c r="D19" s="681">
        <f>Entrada!J33</f>
        <v>1</v>
      </c>
      <c r="E19" s="682" t="str">
        <f>Entrada!G33</f>
        <v>Bateria Solar de 12 VDC, 150 Ah</v>
      </c>
    </row>
    <row r="20" spans="1:5" ht="15">
      <c r="A20" s="667"/>
      <c r="B20" s="674"/>
      <c r="C20" s="675"/>
      <c r="D20" s="681">
        <f>Entrada!J34</f>
        <v>1</v>
      </c>
      <c r="E20" s="682" t="str">
        <f>Entrada!G34</f>
        <v>Soporte de Módulo</v>
      </c>
    </row>
    <row r="21" spans="1:5" ht="15">
      <c r="A21" s="667"/>
      <c r="B21" s="674"/>
      <c r="C21" s="675"/>
      <c r="D21" s="681">
        <f>Entrada!J35</f>
        <v>1</v>
      </c>
      <c r="E21" s="682" t="str">
        <f>Entrada!G35</f>
        <v>Tablero de Distribución</v>
      </c>
    </row>
    <row r="22" spans="1:5" ht="15">
      <c r="A22" s="667"/>
      <c r="B22" s="674"/>
      <c r="C22" s="675"/>
      <c r="D22" s="681">
        <f>Entrada!J36</f>
        <v>1</v>
      </c>
      <c r="E22" s="682" t="str">
        <f>Entrada!G36</f>
        <v>Materiales y accesorios de instalación</v>
      </c>
    </row>
    <row r="23" spans="1:5" ht="15">
      <c r="A23" s="667"/>
      <c r="B23" s="674"/>
      <c r="C23" s="675"/>
      <c r="D23" s="681">
        <f>Entrada!J37</f>
        <v>3</v>
      </c>
      <c r="E23" s="682" t="str">
        <f>Entrada!G37</f>
        <v>Lámpara Fluorecente compacta DC, 11 W</v>
      </c>
    </row>
    <row r="24" spans="1:5" ht="15">
      <c r="A24" s="667"/>
      <c r="B24" s="670"/>
      <c r="C24" s="677"/>
      <c r="D24" s="681">
        <f>Entrada!J38</f>
        <v>1</v>
      </c>
      <c r="E24" s="682" t="str">
        <f>Entrada!G38</f>
        <v>Cables, conectores, tomacorrientes, etc</v>
      </c>
    </row>
    <row r="25" spans="1:5" ht="15.75">
      <c r="A25" s="667"/>
      <c r="B25" s="683"/>
      <c r="C25" s="684"/>
      <c r="D25" s="681">
        <f>Entrada!J39</f>
        <v>1</v>
      </c>
      <c r="E25" s="682" t="str">
        <f>Entrada!G39</f>
        <v>salida de 12 V para uso Multiple</v>
      </c>
    </row>
    <row r="26" spans="1:5" s="687" customFormat="1" ht="6.75" customHeight="1">
      <c r="A26" s="685"/>
      <c r="B26" s="683"/>
      <c r="C26" s="684"/>
      <c r="D26" s="681">
        <f>Entrada!J40</f>
        <v>0</v>
      </c>
      <c r="E26" s="686">
        <f>Entrada!G40</f>
        <v>0</v>
      </c>
    </row>
    <row r="27" spans="1:5" s="687" customFormat="1" ht="15">
      <c r="A27" s="678"/>
      <c r="B27" s="670"/>
      <c r="C27" s="671"/>
      <c r="D27" s="688" t="str">
        <f>IF(ModUG="","",Entrada!G41)</f>
        <v>Uso General y Comercial</v>
      </c>
      <c r="E27" s="689"/>
    </row>
    <row r="28" spans="2:5" s="687" customFormat="1" ht="15">
      <c r="B28" s="126"/>
      <c r="C28" s="690"/>
      <c r="D28" s="681">
        <f>Entrada!J43</f>
        <v>2</v>
      </c>
      <c r="E28" s="682" t="str">
        <f>Entrada!G43</f>
        <v>Panel solar de 80 Wp</v>
      </c>
    </row>
    <row r="29" spans="2:5" s="687" customFormat="1" ht="15">
      <c r="B29" s="126"/>
      <c r="C29" s="690"/>
      <c r="D29" s="681">
        <f>Entrada!J44</f>
        <v>1</v>
      </c>
      <c r="E29" s="682" t="str">
        <f>Entrada!G44</f>
        <v>Regulador de carga de 20 A</v>
      </c>
    </row>
    <row r="30" spans="1:5" ht="15">
      <c r="A30" s="234"/>
      <c r="B30" s="126"/>
      <c r="C30" s="690"/>
      <c r="D30" s="681">
        <f>Entrada!J45</f>
        <v>2</v>
      </c>
      <c r="E30" s="682" t="str">
        <f>Entrada!G45</f>
        <v>Bateria Solar de 12 VDC, 150 Ah</v>
      </c>
    </row>
    <row r="31" spans="1:5" ht="15">
      <c r="A31" s="234"/>
      <c r="B31" s="126"/>
      <c r="C31" s="690"/>
      <c r="D31" s="681">
        <f>Entrada!J46</f>
        <v>1</v>
      </c>
      <c r="E31" s="682" t="str">
        <f>Entrada!G46</f>
        <v>Inversor DC-AC 300 W</v>
      </c>
    </row>
    <row r="32" spans="1:5" ht="15">
      <c r="A32" s="234"/>
      <c r="B32" s="126"/>
      <c r="C32" s="690"/>
      <c r="D32" s="681">
        <f>Entrada!J47</f>
        <v>1</v>
      </c>
      <c r="E32" s="682" t="str">
        <f>Entrada!G47</f>
        <v>Soporte de Módulo</v>
      </c>
    </row>
    <row r="33" spans="1:5" ht="15">
      <c r="A33" s="234"/>
      <c r="B33" s="126"/>
      <c r="C33" s="690"/>
      <c r="D33" s="681">
        <f>Entrada!J48</f>
        <v>1</v>
      </c>
      <c r="E33" s="682" t="str">
        <f>Entrada!G48</f>
        <v>Tablero de Distribución</v>
      </c>
    </row>
    <row r="34" spans="1:5" ht="15">
      <c r="A34" s="234"/>
      <c r="B34" s="126"/>
      <c r="C34" s="690"/>
      <c r="D34" s="681">
        <f>Entrada!J49</f>
        <v>1</v>
      </c>
      <c r="E34" s="682" t="str">
        <f>Entrada!G49</f>
        <v>Materiales y accesorios de instalación</v>
      </c>
    </row>
    <row r="35" spans="1:5" ht="15.75" thickBot="1">
      <c r="A35" s="234"/>
      <c r="B35" s="691"/>
      <c r="C35" s="692"/>
      <c r="D35" s="693"/>
      <c r="E35" s="694"/>
    </row>
    <row r="36" spans="1:4" ht="15">
      <c r="A36" s="234"/>
      <c r="B36" s="234"/>
      <c r="C36" s="234"/>
      <c r="D36" s="234"/>
    </row>
    <row r="37" spans="1:4" ht="15">
      <c r="A37" s="234"/>
      <c r="B37" s="234"/>
      <c r="C37" s="234"/>
      <c r="D37" s="234"/>
    </row>
    <row r="38" spans="1:4" ht="15">
      <c r="A38" s="234"/>
      <c r="B38" s="234"/>
      <c r="C38" s="234"/>
      <c r="D38" s="234"/>
    </row>
    <row r="39" spans="1:4" ht="15">
      <c r="A39" s="234"/>
      <c r="B39" s="234"/>
      <c r="C39" s="234"/>
      <c r="D39" s="234"/>
    </row>
    <row r="40" spans="1:4" ht="15">
      <c r="A40" s="234"/>
      <c r="B40" s="234"/>
      <c r="C40" s="234"/>
      <c r="D40" s="234"/>
    </row>
    <row r="41" spans="1:4" ht="15">
      <c r="A41" s="234"/>
      <c r="B41" s="234"/>
      <c r="C41" s="234"/>
      <c r="D41" s="234"/>
    </row>
    <row r="42" spans="1:4" ht="15">
      <c r="A42" s="234"/>
      <c r="B42" s="234"/>
      <c r="C42" s="234"/>
      <c r="D42" s="234"/>
    </row>
    <row r="43" spans="1:4" ht="15">
      <c r="A43" s="234"/>
      <c r="B43" s="234"/>
      <c r="C43" s="234"/>
      <c r="D43" s="234"/>
    </row>
    <row r="44" spans="1:4" ht="15">
      <c r="A44" s="234"/>
      <c r="B44" s="234"/>
      <c r="C44" s="234"/>
      <c r="D44" s="234"/>
    </row>
    <row r="45" spans="1:4" ht="15">
      <c r="A45" s="234"/>
      <c r="B45" s="234"/>
      <c r="C45" s="234"/>
      <c r="D45" s="234"/>
    </row>
    <row r="46" spans="1:4" ht="15">
      <c r="A46" s="234"/>
      <c r="B46" s="234"/>
      <c r="C46" s="234"/>
      <c r="D46" s="234"/>
    </row>
    <row r="47" spans="1:4" ht="15">
      <c r="A47" s="234"/>
      <c r="B47" s="234"/>
      <c r="C47" s="234"/>
      <c r="D47" s="234"/>
    </row>
    <row r="48" spans="1:4" ht="15">
      <c r="A48" s="234"/>
      <c r="B48" s="234"/>
      <c r="C48" s="234"/>
      <c r="D48" s="234"/>
    </row>
    <row r="49" spans="1:4" ht="15">
      <c r="A49" s="234"/>
      <c r="B49" s="234"/>
      <c r="C49" s="234"/>
      <c r="D49" s="234"/>
    </row>
    <row r="50" spans="1:4" ht="15">
      <c r="A50" s="234"/>
      <c r="B50" s="234"/>
      <c r="C50" s="234"/>
      <c r="D50" s="234"/>
    </row>
    <row r="51" spans="1:4" ht="15">
      <c r="A51" s="234"/>
      <c r="B51" s="234"/>
      <c r="C51" s="234"/>
      <c r="D51" s="234"/>
    </row>
  </sheetData>
  <sheetProtection password="FFA0" sheet="1" objects="1" formatCells="0" formatColumns="0" formatRows="0"/>
  <mergeCells count="5">
    <mergeCell ref="D6:E6"/>
    <mergeCell ref="D15:E15"/>
    <mergeCell ref="B2:E2"/>
    <mergeCell ref="B3:E3"/>
    <mergeCell ref="B5:E5"/>
  </mergeCells>
  <printOptions horizontalCentered="1" verticalCentered="1"/>
  <pageMargins left="0.5905511811023623" right="0.7874015748031497" top="0.1968503937007874" bottom="0.3937007874015748" header="0" footer="0"/>
  <pageSetup fitToHeight="1" fitToWidth="1" horizontalDpi="600" verticalDpi="600" orientation="portrait" paperSize="9" scale="99" r:id="rId2"/>
  <drawing r:id="rId1"/>
</worksheet>
</file>

<file path=xl/worksheets/sheet5.xml><?xml version="1.0" encoding="utf-8"?>
<worksheet xmlns="http://schemas.openxmlformats.org/spreadsheetml/2006/main" xmlns:r="http://schemas.openxmlformats.org/officeDocument/2006/relationships">
  <sheetPr codeName="Hoja3">
    <pageSetUpPr fitToPage="1"/>
  </sheetPr>
  <dimension ref="A1:V85"/>
  <sheetViews>
    <sheetView showGridLines="0" showZeros="0" zoomScale="84" zoomScaleNormal="84" zoomScaleSheetLayoutView="76" zoomScalePageLayoutView="0" workbookViewId="0" topLeftCell="A1">
      <pane ySplit="3" topLeftCell="A31" activePane="bottomLeft" state="frozen"/>
      <selection pane="topLeft" activeCell="K132" sqref="K132"/>
      <selection pane="bottomLeft" activeCell="B60" sqref="B60"/>
    </sheetView>
  </sheetViews>
  <sheetFormatPr defaultColWidth="11.421875" defaultRowHeight="15"/>
  <cols>
    <col min="1" max="1" width="53.00390625" style="9" customWidth="1"/>
    <col min="2" max="2" width="9.7109375" style="9" customWidth="1"/>
    <col min="3" max="22" width="9.7109375" style="66" customWidth="1"/>
    <col min="23" max="16384" width="11.421875" style="234" customWidth="1"/>
  </cols>
  <sheetData>
    <row r="1" ht="36" customHeight="1" thickBot="1">
      <c r="A1" s="225"/>
    </row>
    <row r="2" spans="1:22" ht="15.75">
      <c r="A2" s="846" t="s">
        <v>115</v>
      </c>
      <c r="B2" s="847"/>
      <c r="C2" s="847"/>
      <c r="D2" s="847"/>
      <c r="E2" s="847"/>
      <c r="F2" s="847"/>
      <c r="G2" s="847"/>
      <c r="H2" s="847"/>
      <c r="I2" s="847"/>
      <c r="J2" s="847"/>
      <c r="K2" s="847"/>
      <c r="L2" s="847"/>
      <c r="M2" s="847"/>
      <c r="N2" s="847"/>
      <c r="O2" s="847"/>
      <c r="P2" s="847"/>
      <c r="Q2" s="847"/>
      <c r="R2" s="847"/>
      <c r="S2" s="847"/>
      <c r="T2" s="847"/>
      <c r="U2" s="847"/>
      <c r="V2" s="848"/>
    </row>
    <row r="3" spans="1:22" ht="15.75">
      <c r="A3" s="849" t="s">
        <v>108</v>
      </c>
      <c r="B3" s="850"/>
      <c r="C3" s="850"/>
      <c r="D3" s="850"/>
      <c r="E3" s="850"/>
      <c r="F3" s="850"/>
      <c r="G3" s="850"/>
      <c r="H3" s="850"/>
      <c r="I3" s="850"/>
      <c r="J3" s="850"/>
      <c r="K3" s="850"/>
      <c r="L3" s="850"/>
      <c r="M3" s="850"/>
      <c r="N3" s="850"/>
      <c r="O3" s="850"/>
      <c r="P3" s="850"/>
      <c r="Q3" s="850"/>
      <c r="R3" s="850"/>
      <c r="S3" s="850"/>
      <c r="T3" s="850"/>
      <c r="U3" s="850"/>
      <c r="V3" s="851"/>
    </row>
    <row r="4" spans="1:22" ht="15">
      <c r="A4" s="117"/>
      <c r="B4" s="10"/>
      <c r="C4" s="11"/>
      <c r="D4" s="11"/>
      <c r="E4" s="11"/>
      <c r="F4" s="11"/>
      <c r="G4" s="11"/>
      <c r="H4" s="11"/>
      <c r="I4" s="11"/>
      <c r="J4" s="11"/>
      <c r="K4" s="11"/>
      <c r="L4" s="11"/>
      <c r="M4" s="11"/>
      <c r="N4" s="11"/>
      <c r="O4" s="11"/>
      <c r="P4" s="11"/>
      <c r="Q4" s="11"/>
      <c r="R4" s="11"/>
      <c r="S4" s="11"/>
      <c r="T4" s="11"/>
      <c r="U4" s="11"/>
      <c r="V4" s="118"/>
    </row>
    <row r="5" spans="1:22" ht="15">
      <c r="A5" s="119" t="s">
        <v>99</v>
      </c>
      <c r="B5" s="13"/>
      <c r="C5" s="14"/>
      <c r="D5" s="14"/>
      <c r="E5" s="13"/>
      <c r="F5" s="14"/>
      <c r="G5" s="13"/>
      <c r="H5" s="13"/>
      <c r="I5" s="13"/>
      <c r="J5" s="13"/>
      <c r="K5" s="13"/>
      <c r="L5" s="13"/>
      <c r="M5" s="13"/>
      <c r="N5" s="13"/>
      <c r="O5" s="13"/>
      <c r="P5" s="13"/>
      <c r="Q5" s="13"/>
      <c r="R5" s="13"/>
      <c r="S5" s="13"/>
      <c r="T5" s="13"/>
      <c r="U5" s="13"/>
      <c r="V5" s="120"/>
    </row>
    <row r="6" spans="1:22" ht="6" customHeight="1">
      <c r="A6" s="121"/>
      <c r="B6" s="15"/>
      <c r="C6" s="16"/>
      <c r="D6" s="16"/>
      <c r="E6" s="17"/>
      <c r="F6" s="16"/>
      <c r="G6" s="16"/>
      <c r="H6" s="17"/>
      <c r="I6" s="17"/>
      <c r="J6" s="17"/>
      <c r="K6" s="17"/>
      <c r="L6" s="16"/>
      <c r="M6" s="16"/>
      <c r="N6" s="16"/>
      <c r="O6" s="16"/>
      <c r="P6" s="16"/>
      <c r="Q6" s="16"/>
      <c r="R6" s="16"/>
      <c r="S6" s="16"/>
      <c r="T6" s="16"/>
      <c r="U6" s="16"/>
      <c r="V6" s="122"/>
    </row>
    <row r="7" spans="1:22" ht="18.75" customHeight="1">
      <c r="A7" s="123" t="s">
        <v>102</v>
      </c>
      <c r="B7" s="2"/>
      <c r="C7" s="18" t="s">
        <v>103</v>
      </c>
      <c r="D7" s="3" t="s">
        <v>66</v>
      </c>
      <c r="E7" s="4"/>
      <c r="F7" s="4"/>
      <c r="G7" s="4"/>
      <c r="H7" s="4"/>
      <c r="I7" s="5"/>
      <c r="J7" s="16"/>
      <c r="K7" s="19" t="s">
        <v>72</v>
      </c>
      <c r="L7" s="20"/>
      <c r="M7" s="20"/>
      <c r="N7" s="20"/>
      <c r="O7" s="20"/>
      <c r="P7" s="20"/>
      <c r="Q7" s="20"/>
      <c r="R7" s="20"/>
      <c r="S7" s="20"/>
      <c r="T7" s="20"/>
      <c r="U7" s="20"/>
      <c r="V7" s="124"/>
    </row>
    <row r="8" spans="1:22" ht="13.5" customHeight="1">
      <c r="A8" s="121" t="s">
        <v>91</v>
      </c>
      <c r="B8" s="15"/>
      <c r="C8" s="84">
        <f>Entrada!D5</f>
        <v>2011</v>
      </c>
      <c r="D8" s="21"/>
      <c r="E8" s="16"/>
      <c r="F8" s="16"/>
      <c r="G8" s="17"/>
      <c r="H8" s="17"/>
      <c r="I8" s="22"/>
      <c r="J8" s="16"/>
      <c r="K8" s="385" t="s">
        <v>102</v>
      </c>
      <c r="L8" s="2"/>
      <c r="M8" s="23"/>
      <c r="N8" s="23"/>
      <c r="O8" s="23"/>
      <c r="P8" s="18" t="s">
        <v>103</v>
      </c>
      <c r="Q8" s="4" t="s">
        <v>66</v>
      </c>
      <c r="R8" s="4"/>
      <c r="S8" s="4"/>
      <c r="T8" s="4"/>
      <c r="U8" s="4"/>
      <c r="V8" s="125"/>
    </row>
    <row r="9" spans="1:22" ht="15">
      <c r="A9" s="126" t="s">
        <v>184</v>
      </c>
      <c r="B9" s="16"/>
      <c r="C9" s="85">
        <f>Entrada!D7/SUM(Entrada!D10:D14)</f>
        <v>4.4010989010989015</v>
      </c>
      <c r="D9" s="21" t="s">
        <v>81</v>
      </c>
      <c r="E9" s="24"/>
      <c r="F9" s="16"/>
      <c r="G9" s="17"/>
      <c r="H9" s="17"/>
      <c r="I9" s="22"/>
      <c r="J9" s="16"/>
      <c r="K9" s="25" t="s">
        <v>68</v>
      </c>
      <c r="L9" s="26"/>
      <c r="M9" s="26"/>
      <c r="N9" s="26"/>
      <c r="O9" s="26"/>
      <c r="P9" s="27">
        <f>+P10+P11</f>
        <v>537</v>
      </c>
      <c r="Q9" s="26"/>
      <c r="R9" s="26"/>
      <c r="S9" s="16"/>
      <c r="T9" s="17"/>
      <c r="U9" s="17"/>
      <c r="V9" s="122"/>
    </row>
    <row r="10" spans="1:22" ht="15">
      <c r="A10" s="126" t="s">
        <v>192</v>
      </c>
      <c r="B10" s="16"/>
      <c r="C10" s="86">
        <f>Entrada!D6</f>
        <v>2403</v>
      </c>
      <c r="D10" s="21" t="s">
        <v>67</v>
      </c>
      <c r="E10" s="24"/>
      <c r="F10" s="16"/>
      <c r="G10" s="17"/>
      <c r="H10" s="17"/>
      <c r="I10" s="22"/>
      <c r="J10" s="16"/>
      <c r="K10" s="28" t="s">
        <v>69</v>
      </c>
      <c r="L10" s="26"/>
      <c r="M10" s="26"/>
      <c r="N10" s="26"/>
      <c r="O10" s="26"/>
      <c r="P10" s="93">
        <f>Entrada!D10</f>
        <v>0</v>
      </c>
      <c r="Q10" s="29" t="s">
        <v>67</v>
      </c>
      <c r="R10" s="26"/>
      <c r="S10" s="16"/>
      <c r="T10" s="17"/>
      <c r="U10" s="16"/>
      <c r="V10" s="122"/>
    </row>
    <row r="11" spans="1:22" ht="15">
      <c r="A11" s="126" t="s">
        <v>193</v>
      </c>
      <c r="B11" s="16"/>
      <c r="C11" s="86">
        <f>Entrada!D7</f>
        <v>2403</v>
      </c>
      <c r="D11" s="21" t="s">
        <v>67</v>
      </c>
      <c r="E11" s="24"/>
      <c r="F11" s="16"/>
      <c r="G11" s="17"/>
      <c r="H11" s="17"/>
      <c r="I11" s="22"/>
      <c r="J11" s="16"/>
      <c r="K11" s="28" t="s">
        <v>70</v>
      </c>
      <c r="L11" s="26"/>
      <c r="M11" s="26"/>
      <c r="N11" s="26"/>
      <c r="O11" s="26"/>
      <c r="P11" s="93">
        <f>Entrada!D11</f>
        <v>537</v>
      </c>
      <c r="Q11" s="29" t="s">
        <v>67</v>
      </c>
      <c r="R11" s="26"/>
      <c r="S11" s="16"/>
      <c r="T11" s="17"/>
      <c r="U11" s="16"/>
      <c r="V11" s="122"/>
    </row>
    <row r="12" spans="1:22" ht="15">
      <c r="A12" s="121" t="s">
        <v>43</v>
      </c>
      <c r="B12" s="16"/>
      <c r="C12" s="81">
        <f>C11/C10</f>
        <v>1</v>
      </c>
      <c r="D12" s="21" t="s">
        <v>67</v>
      </c>
      <c r="E12" s="24"/>
      <c r="F12" s="16"/>
      <c r="G12" s="17"/>
      <c r="H12" s="17"/>
      <c r="I12" s="22"/>
      <c r="J12" s="16"/>
      <c r="K12" s="25" t="s">
        <v>71</v>
      </c>
      <c r="L12" s="26"/>
      <c r="M12" s="26"/>
      <c r="N12" s="26"/>
      <c r="O12" s="26"/>
      <c r="P12" s="93">
        <f>Entrada!D12</f>
        <v>0</v>
      </c>
      <c r="Q12" s="29" t="s">
        <v>67</v>
      </c>
      <c r="R12" s="26"/>
      <c r="S12" s="16"/>
      <c r="T12" s="17"/>
      <c r="U12" s="16"/>
      <c r="V12" s="122"/>
    </row>
    <row r="13" spans="1:22" ht="15">
      <c r="A13" s="121" t="s">
        <v>44</v>
      </c>
      <c r="B13" s="16"/>
      <c r="C13" s="81">
        <f>IF(C12+10%&gt;100%,100%,C12+10%)</f>
        <v>1</v>
      </c>
      <c r="D13" s="21"/>
      <c r="E13" s="24"/>
      <c r="F13" s="16"/>
      <c r="G13" s="17"/>
      <c r="H13" s="17"/>
      <c r="I13" s="22"/>
      <c r="J13" s="16"/>
      <c r="K13" s="25" t="s">
        <v>111</v>
      </c>
      <c r="L13" s="26"/>
      <c r="M13" s="26"/>
      <c r="N13" s="26"/>
      <c r="O13" s="26"/>
      <c r="P13" s="93">
        <f>Entrada!D13</f>
        <v>9</v>
      </c>
      <c r="Q13" s="29" t="s">
        <v>67</v>
      </c>
      <c r="R13" s="26"/>
      <c r="S13" s="16"/>
      <c r="T13" s="17"/>
      <c r="U13" s="16"/>
      <c r="V13" s="122"/>
    </row>
    <row r="14" spans="1:22" ht="15">
      <c r="A14" s="121" t="s">
        <v>31</v>
      </c>
      <c r="B14" s="16"/>
      <c r="C14" s="87">
        <f>P15</f>
        <v>546</v>
      </c>
      <c r="D14" s="21" t="s">
        <v>67</v>
      </c>
      <c r="E14" s="24"/>
      <c r="F14" s="16"/>
      <c r="G14" s="17"/>
      <c r="H14" s="17"/>
      <c r="I14" s="22"/>
      <c r="J14" s="16"/>
      <c r="K14" s="25" t="s">
        <v>79</v>
      </c>
      <c r="L14" s="26"/>
      <c r="M14" s="26"/>
      <c r="N14" s="26"/>
      <c r="O14" s="26"/>
      <c r="P14" s="93">
        <f>Entrada!D14</f>
        <v>0</v>
      </c>
      <c r="Q14" s="29" t="s">
        <v>67</v>
      </c>
      <c r="R14" s="26"/>
      <c r="S14" s="33"/>
      <c r="T14" s="17"/>
      <c r="U14" s="16"/>
      <c r="V14" s="122"/>
    </row>
    <row r="15" spans="1:22" ht="15">
      <c r="A15" s="127" t="s">
        <v>38</v>
      </c>
      <c r="B15" s="16"/>
      <c r="C15" s="88">
        <f>Entrada!J6</f>
        <v>0.0116</v>
      </c>
      <c r="D15" s="21" t="s">
        <v>81</v>
      </c>
      <c r="E15" s="24"/>
      <c r="F15" s="16"/>
      <c r="G15" s="17"/>
      <c r="H15" s="17"/>
      <c r="I15" s="22"/>
      <c r="J15" s="16"/>
      <c r="K15" s="94" t="s">
        <v>82</v>
      </c>
      <c r="L15" s="95"/>
      <c r="M15" s="95"/>
      <c r="N15" s="95"/>
      <c r="O15" s="95"/>
      <c r="P15" s="96">
        <f>SUM(P10:P14)</f>
        <v>546</v>
      </c>
      <c r="Q15" s="35"/>
      <c r="R15" s="35"/>
      <c r="S15" s="36"/>
      <c r="T15" s="37"/>
      <c r="U15" s="38"/>
      <c r="V15" s="128"/>
    </row>
    <row r="16" spans="1:22" ht="15">
      <c r="A16" s="129" t="s">
        <v>109</v>
      </c>
      <c r="B16" s="30"/>
      <c r="C16" s="81">
        <f>P9/P15</f>
        <v>0.9835164835164835</v>
      </c>
      <c r="D16" s="31"/>
      <c r="E16" s="32"/>
      <c r="F16" s="33"/>
      <c r="G16" s="33"/>
      <c r="H16" s="33"/>
      <c r="I16" s="34"/>
      <c r="J16" s="33"/>
      <c r="K16" s="33"/>
      <c r="L16" s="33"/>
      <c r="M16" s="33"/>
      <c r="N16" s="33"/>
      <c r="O16" s="33"/>
      <c r="P16" s="33"/>
      <c r="Q16" s="33"/>
      <c r="R16" s="33"/>
      <c r="S16" s="33"/>
      <c r="T16" s="33"/>
      <c r="U16" s="33"/>
      <c r="V16" s="130"/>
    </row>
    <row r="17" spans="1:22" ht="15">
      <c r="A17" s="129" t="s">
        <v>110</v>
      </c>
      <c r="B17" s="30"/>
      <c r="C17" s="81">
        <f>+P12/P15</f>
        <v>0</v>
      </c>
      <c r="D17" s="31"/>
      <c r="E17" s="32"/>
      <c r="F17" s="33"/>
      <c r="G17" s="33"/>
      <c r="H17" s="33"/>
      <c r="I17" s="34"/>
      <c r="J17" s="33"/>
      <c r="K17" s="33"/>
      <c r="L17" s="33"/>
      <c r="M17" s="33"/>
      <c r="N17" s="33"/>
      <c r="O17" s="33"/>
      <c r="P17" s="33"/>
      <c r="Q17" s="33"/>
      <c r="R17" s="33"/>
      <c r="S17" s="33"/>
      <c r="T17" s="33"/>
      <c r="U17" s="33"/>
      <c r="V17" s="130"/>
    </row>
    <row r="18" spans="1:22" ht="15.75">
      <c r="A18" s="129" t="s">
        <v>112</v>
      </c>
      <c r="B18" s="30"/>
      <c r="C18" s="89">
        <f>+P13/P15</f>
        <v>0.016483516483516484</v>
      </c>
      <c r="D18" s="31"/>
      <c r="E18" s="32"/>
      <c r="F18" s="33"/>
      <c r="G18" s="33"/>
      <c r="H18" s="33"/>
      <c r="I18" s="34"/>
      <c r="J18" s="33"/>
      <c r="K18" s="40" t="s">
        <v>376</v>
      </c>
      <c r="L18" s="41"/>
      <c r="M18" s="41"/>
      <c r="N18" s="41"/>
      <c r="O18" s="41"/>
      <c r="P18" s="41"/>
      <c r="Q18" s="41"/>
      <c r="R18" s="41"/>
      <c r="S18" s="41"/>
      <c r="T18" s="42"/>
      <c r="U18" s="41"/>
      <c r="V18" s="131"/>
    </row>
    <row r="19" spans="1:22" ht="15">
      <c r="A19" s="129" t="s">
        <v>113</v>
      </c>
      <c r="B19" s="30"/>
      <c r="C19" s="89">
        <f>+P14/P15</f>
        <v>0</v>
      </c>
      <c r="D19" s="31"/>
      <c r="E19" s="32"/>
      <c r="F19" s="33"/>
      <c r="G19" s="33"/>
      <c r="H19" s="33"/>
      <c r="I19" s="34"/>
      <c r="J19" s="33"/>
      <c r="K19" s="385" t="s">
        <v>102</v>
      </c>
      <c r="L19" s="2"/>
      <c r="M19" s="23"/>
      <c r="N19" s="23"/>
      <c r="O19" s="23"/>
      <c r="P19" s="18" t="s">
        <v>103</v>
      </c>
      <c r="Q19" s="4" t="s">
        <v>66</v>
      </c>
      <c r="R19" s="4"/>
      <c r="S19" s="4"/>
      <c r="T19" s="4"/>
      <c r="U19" s="4"/>
      <c r="V19" s="125"/>
    </row>
    <row r="20" spans="1:22" ht="15">
      <c r="A20" s="132" t="s">
        <v>54</v>
      </c>
      <c r="B20" s="43"/>
      <c r="C20" s="90">
        <f>Entrada!J14</f>
        <v>0.0073</v>
      </c>
      <c r="D20" s="79" t="s">
        <v>189</v>
      </c>
      <c r="E20" s="24"/>
      <c r="F20" s="16"/>
      <c r="G20" s="17"/>
      <c r="H20" s="17"/>
      <c r="I20" s="22"/>
      <c r="J20" s="16"/>
      <c r="K20" s="6" t="s">
        <v>75</v>
      </c>
      <c r="L20" s="26"/>
      <c r="M20" s="26"/>
      <c r="N20" s="44"/>
      <c r="O20" s="44"/>
      <c r="P20" s="45">
        <f>((P10*P21+P11*P22)/(P10+P11))*sensCU</f>
        <v>25</v>
      </c>
      <c r="Q20" s="26"/>
      <c r="R20" s="26"/>
      <c r="S20" s="44"/>
      <c r="T20" s="46"/>
      <c r="U20" s="44"/>
      <c r="V20" s="130"/>
    </row>
    <row r="21" spans="1:22" ht="15">
      <c r="A21" s="127" t="s">
        <v>191</v>
      </c>
      <c r="B21" s="16"/>
      <c r="C21" s="81">
        <f>Entrada!D22</f>
        <v>0.09</v>
      </c>
      <c r="D21" s="79" t="s">
        <v>189</v>
      </c>
      <c r="E21" s="24"/>
      <c r="F21" s="16"/>
      <c r="G21" s="17"/>
      <c r="H21" s="17"/>
      <c r="I21" s="22"/>
      <c r="J21" s="16"/>
      <c r="K21" s="7" t="s">
        <v>73</v>
      </c>
      <c r="L21" s="26"/>
      <c r="M21" s="26"/>
      <c r="N21" s="44"/>
      <c r="O21" s="44"/>
      <c r="P21" s="97">
        <f>Entrada!J9</f>
        <v>0</v>
      </c>
      <c r="Q21" s="79" t="s">
        <v>189</v>
      </c>
      <c r="R21" s="26"/>
      <c r="S21" s="44"/>
      <c r="T21" s="46"/>
      <c r="U21" s="44"/>
      <c r="V21" s="130"/>
    </row>
    <row r="22" spans="1:22" ht="15">
      <c r="A22" s="127" t="s">
        <v>3</v>
      </c>
      <c r="B22" s="16"/>
      <c r="C22" s="82">
        <f>Entrada!D23</f>
        <v>0.22</v>
      </c>
      <c r="D22" s="79" t="s">
        <v>189</v>
      </c>
      <c r="E22" s="24"/>
      <c r="F22" s="16"/>
      <c r="G22" s="17"/>
      <c r="H22" s="17"/>
      <c r="I22" s="22"/>
      <c r="J22" s="16"/>
      <c r="K22" s="7" t="s">
        <v>74</v>
      </c>
      <c r="L22" s="26"/>
      <c r="M22" s="26"/>
      <c r="N22" s="44"/>
      <c r="O22" s="44"/>
      <c r="P22" s="97">
        <f>Entrada!J10</f>
        <v>25</v>
      </c>
      <c r="Q22" s="79" t="s">
        <v>189</v>
      </c>
      <c r="R22" s="26"/>
      <c r="S22" s="44"/>
      <c r="T22" s="46"/>
      <c r="U22" s="44"/>
      <c r="V22" s="130"/>
    </row>
    <row r="23" spans="1:22" ht="15">
      <c r="A23" s="127" t="s">
        <v>55</v>
      </c>
      <c r="B23" s="16"/>
      <c r="C23" s="83" t="str">
        <f>Entrada!D25</f>
        <v>SER</v>
      </c>
      <c r="D23" s="79" t="s">
        <v>189</v>
      </c>
      <c r="E23" s="24"/>
      <c r="F23" s="16"/>
      <c r="G23" s="17"/>
      <c r="H23" s="17"/>
      <c r="I23" s="22"/>
      <c r="J23" s="16"/>
      <c r="K23" s="6" t="s">
        <v>77</v>
      </c>
      <c r="L23" s="26"/>
      <c r="M23" s="26"/>
      <c r="N23" s="44"/>
      <c r="O23" s="44"/>
      <c r="P23" s="97">
        <f>Entrada!J11</f>
        <v>0</v>
      </c>
      <c r="Q23" s="79" t="s">
        <v>189</v>
      </c>
      <c r="R23" s="26"/>
      <c r="S23" s="44"/>
      <c r="T23" s="46"/>
      <c r="U23" s="44"/>
      <c r="V23" s="130"/>
    </row>
    <row r="24" spans="1:22" ht="15">
      <c r="A24" s="127" t="s">
        <v>93</v>
      </c>
      <c r="B24" s="16"/>
      <c r="C24" s="91">
        <f>IF(ST=4,7.4,6.3)</f>
        <v>6.3</v>
      </c>
      <c r="D24" s="21" t="s">
        <v>95</v>
      </c>
      <c r="E24" s="24"/>
      <c r="F24" s="16"/>
      <c r="G24" s="17"/>
      <c r="H24" s="17"/>
      <c r="I24" s="22"/>
      <c r="J24" s="16"/>
      <c r="K24" s="6" t="s">
        <v>78</v>
      </c>
      <c r="L24" s="44"/>
      <c r="M24" s="44"/>
      <c r="N24" s="44"/>
      <c r="O24" s="44"/>
      <c r="P24" s="97">
        <f>Entrada!J12</f>
        <v>39.28</v>
      </c>
      <c r="Q24" s="79" t="s">
        <v>189</v>
      </c>
      <c r="R24" s="26"/>
      <c r="S24" s="26"/>
      <c r="T24" s="43"/>
      <c r="U24" s="43"/>
      <c r="V24" s="133"/>
    </row>
    <row r="25" spans="1:22" ht="15">
      <c r="A25" s="134" t="s">
        <v>94</v>
      </c>
      <c r="B25" s="38"/>
      <c r="C25" s="92">
        <f>IF(ST=4,70,50)</f>
        <v>50</v>
      </c>
      <c r="D25" s="47" t="s">
        <v>95</v>
      </c>
      <c r="E25" s="48"/>
      <c r="F25" s="38"/>
      <c r="G25" s="38"/>
      <c r="H25" s="38"/>
      <c r="I25" s="39"/>
      <c r="J25" s="16"/>
      <c r="K25" s="49" t="s">
        <v>80</v>
      </c>
      <c r="L25" s="50"/>
      <c r="M25" s="50"/>
      <c r="N25" s="50"/>
      <c r="O25" s="50"/>
      <c r="P25" s="98">
        <f>Entrada!J13</f>
        <v>0</v>
      </c>
      <c r="Q25" s="80" t="s">
        <v>189</v>
      </c>
      <c r="R25" s="50"/>
      <c r="S25" s="35"/>
      <c r="T25" s="51"/>
      <c r="U25" s="51"/>
      <c r="V25" s="135"/>
    </row>
    <row r="26" spans="1:22" ht="15">
      <c r="A26" s="127"/>
      <c r="B26" s="16"/>
      <c r="C26" s="16"/>
      <c r="D26" s="52"/>
      <c r="E26" s="24"/>
      <c r="F26" s="24"/>
      <c r="G26" s="16"/>
      <c r="H26" s="16"/>
      <c r="I26" s="16"/>
      <c r="J26" s="16"/>
      <c r="K26" s="16"/>
      <c r="L26" s="16"/>
      <c r="M26" s="16"/>
      <c r="N26" s="16"/>
      <c r="O26" s="16"/>
      <c r="P26" s="16"/>
      <c r="Q26" s="16"/>
      <c r="R26" s="16"/>
      <c r="S26" s="16"/>
      <c r="T26" s="16"/>
      <c r="U26" s="16"/>
      <c r="V26" s="122"/>
    </row>
    <row r="27" spans="1:22" ht="18" customHeight="1">
      <c r="A27" s="121"/>
      <c r="B27" s="15"/>
      <c r="C27" s="16"/>
      <c r="D27" s="16"/>
      <c r="E27" s="53"/>
      <c r="F27" s="16"/>
      <c r="G27" s="16"/>
      <c r="H27" s="16"/>
      <c r="I27" s="16"/>
      <c r="J27" s="16"/>
      <c r="K27" s="17"/>
      <c r="L27" s="17"/>
      <c r="M27" s="17"/>
      <c r="N27" s="17"/>
      <c r="O27" s="17"/>
      <c r="P27" s="17"/>
      <c r="Q27" s="17"/>
      <c r="R27" s="17"/>
      <c r="S27" s="17"/>
      <c r="T27" s="17"/>
      <c r="U27" s="16"/>
      <c r="V27" s="133"/>
    </row>
    <row r="28" spans="1:22" ht="15">
      <c r="A28" s="119" t="s">
        <v>45</v>
      </c>
      <c r="B28" s="54"/>
      <c r="C28" s="14"/>
      <c r="D28" s="13"/>
      <c r="E28" s="14"/>
      <c r="F28" s="14"/>
      <c r="G28" s="14"/>
      <c r="H28" s="14"/>
      <c r="I28" s="14"/>
      <c r="J28" s="14"/>
      <c r="K28" s="14"/>
      <c r="L28" s="14"/>
      <c r="M28" s="14"/>
      <c r="N28" s="14"/>
      <c r="O28" s="14"/>
      <c r="P28" s="14"/>
      <c r="Q28" s="14"/>
      <c r="R28" s="14"/>
      <c r="S28" s="14"/>
      <c r="T28" s="14"/>
      <c r="U28" s="14"/>
      <c r="V28" s="136"/>
    </row>
    <row r="29" spans="1:22" ht="5.25" customHeight="1">
      <c r="A29" s="137"/>
      <c r="B29" s="15"/>
      <c r="C29" s="38"/>
      <c r="D29" s="38"/>
      <c r="E29" s="38"/>
      <c r="F29" s="38"/>
      <c r="G29" s="38"/>
      <c r="H29" s="38"/>
      <c r="I29" s="38"/>
      <c r="J29" s="38"/>
      <c r="K29" s="38"/>
      <c r="L29" s="38"/>
      <c r="M29" s="38"/>
      <c r="N29" s="38"/>
      <c r="O29" s="38"/>
      <c r="P29" s="38"/>
      <c r="Q29" s="38"/>
      <c r="R29" s="38"/>
      <c r="S29" s="38"/>
      <c r="T29" s="38"/>
      <c r="U29" s="38"/>
      <c r="V29" s="128"/>
    </row>
    <row r="30" spans="1:22" ht="15">
      <c r="A30" s="852" t="s">
        <v>92</v>
      </c>
      <c r="B30" s="853"/>
      <c r="C30" s="853"/>
      <c r="D30" s="853"/>
      <c r="E30" s="853"/>
      <c r="F30" s="853"/>
      <c r="G30" s="853"/>
      <c r="H30" s="853"/>
      <c r="I30" s="853"/>
      <c r="J30" s="853"/>
      <c r="K30" s="853"/>
      <c r="L30" s="853"/>
      <c r="M30" s="853"/>
      <c r="N30" s="853"/>
      <c r="O30" s="853"/>
      <c r="P30" s="853"/>
      <c r="Q30" s="853"/>
      <c r="R30" s="853"/>
      <c r="S30" s="853"/>
      <c r="T30" s="853"/>
      <c r="U30" s="853"/>
      <c r="V30" s="854"/>
    </row>
    <row r="31" spans="1:22" ht="15">
      <c r="A31" s="855" t="s">
        <v>117</v>
      </c>
      <c r="B31" s="55">
        <v>0</v>
      </c>
      <c r="C31" s="56">
        <v>1</v>
      </c>
      <c r="D31" s="56">
        <v>2</v>
      </c>
      <c r="E31" s="56">
        <v>3</v>
      </c>
      <c r="F31" s="56">
        <v>4</v>
      </c>
      <c r="G31" s="56">
        <v>5</v>
      </c>
      <c r="H31" s="56">
        <v>6</v>
      </c>
      <c r="I31" s="56">
        <v>7</v>
      </c>
      <c r="J31" s="56">
        <v>8</v>
      </c>
      <c r="K31" s="56">
        <v>9</v>
      </c>
      <c r="L31" s="56">
        <v>10</v>
      </c>
      <c r="M31" s="56">
        <v>11</v>
      </c>
      <c r="N31" s="56">
        <v>12</v>
      </c>
      <c r="O31" s="56">
        <v>13</v>
      </c>
      <c r="P31" s="56">
        <v>14</v>
      </c>
      <c r="Q31" s="56">
        <v>15</v>
      </c>
      <c r="R31" s="56">
        <v>16</v>
      </c>
      <c r="S31" s="56">
        <v>17</v>
      </c>
      <c r="T31" s="56">
        <v>18</v>
      </c>
      <c r="U31" s="56">
        <v>19</v>
      </c>
      <c r="V31" s="138">
        <v>20</v>
      </c>
    </row>
    <row r="32" spans="1:22" ht="15.75" customHeight="1">
      <c r="A32" s="856"/>
      <c r="B32" s="55">
        <f>C8</f>
        <v>2011</v>
      </c>
      <c r="C32" s="56">
        <f>+B32+1</f>
        <v>2012</v>
      </c>
      <c r="D32" s="56">
        <f aca="true" t="shared" si="0" ref="D32:V32">+C32+1</f>
        <v>2013</v>
      </c>
      <c r="E32" s="56">
        <f t="shared" si="0"/>
        <v>2014</v>
      </c>
      <c r="F32" s="56">
        <f t="shared" si="0"/>
        <v>2015</v>
      </c>
      <c r="G32" s="56">
        <f t="shared" si="0"/>
        <v>2016</v>
      </c>
      <c r="H32" s="56">
        <f t="shared" si="0"/>
        <v>2017</v>
      </c>
      <c r="I32" s="56">
        <f t="shared" si="0"/>
        <v>2018</v>
      </c>
      <c r="J32" s="56">
        <f t="shared" si="0"/>
        <v>2019</v>
      </c>
      <c r="K32" s="56">
        <f t="shared" si="0"/>
        <v>2020</v>
      </c>
      <c r="L32" s="56">
        <f t="shared" si="0"/>
        <v>2021</v>
      </c>
      <c r="M32" s="56">
        <f t="shared" si="0"/>
        <v>2022</v>
      </c>
      <c r="N32" s="56">
        <f t="shared" si="0"/>
        <v>2023</v>
      </c>
      <c r="O32" s="56">
        <f t="shared" si="0"/>
        <v>2024</v>
      </c>
      <c r="P32" s="56">
        <f t="shared" si="0"/>
        <v>2025</v>
      </c>
      <c r="Q32" s="56">
        <f t="shared" si="0"/>
        <v>2026</v>
      </c>
      <c r="R32" s="56">
        <f t="shared" si="0"/>
        <v>2027</v>
      </c>
      <c r="S32" s="56">
        <f t="shared" si="0"/>
        <v>2028</v>
      </c>
      <c r="T32" s="56">
        <f t="shared" si="0"/>
        <v>2029</v>
      </c>
      <c r="U32" s="56">
        <f t="shared" si="0"/>
        <v>2030</v>
      </c>
      <c r="V32" s="138">
        <f t="shared" si="0"/>
        <v>2031</v>
      </c>
    </row>
    <row r="33" spans="1:22" ht="19.5" customHeight="1">
      <c r="A33" s="139" t="s">
        <v>186</v>
      </c>
      <c r="B33" s="57">
        <f>C10</f>
        <v>2403</v>
      </c>
      <c r="C33" s="57">
        <f>B33*(1+$C$15)</f>
        <v>2430.8748</v>
      </c>
      <c r="D33" s="57">
        <f aca="true" t="shared" si="1" ref="D33:V33">C33*(1+$C$15)</f>
        <v>2459.07294768</v>
      </c>
      <c r="E33" s="57">
        <f t="shared" si="1"/>
        <v>2487.5981938730883</v>
      </c>
      <c r="F33" s="57">
        <f t="shared" si="1"/>
        <v>2516.4543329220164</v>
      </c>
      <c r="G33" s="57">
        <f t="shared" si="1"/>
        <v>2545.645203183912</v>
      </c>
      <c r="H33" s="57">
        <f t="shared" si="1"/>
        <v>2575.1746875408458</v>
      </c>
      <c r="I33" s="57">
        <f t="shared" si="1"/>
        <v>2605.0467139163197</v>
      </c>
      <c r="J33" s="57">
        <f t="shared" si="1"/>
        <v>2635.265255797749</v>
      </c>
      <c r="K33" s="57">
        <f t="shared" si="1"/>
        <v>2665.834332765003</v>
      </c>
      <c r="L33" s="57">
        <f t="shared" si="1"/>
        <v>2696.7580110250774</v>
      </c>
      <c r="M33" s="57">
        <f t="shared" si="1"/>
        <v>2728.0404039529685</v>
      </c>
      <c r="N33" s="57">
        <f t="shared" si="1"/>
        <v>2759.6856726388232</v>
      </c>
      <c r="O33" s="57">
        <f t="shared" si="1"/>
        <v>2791.6980264414337</v>
      </c>
      <c r="P33" s="57">
        <f t="shared" si="1"/>
        <v>2824.0817235481545</v>
      </c>
      <c r="Q33" s="57">
        <f t="shared" si="1"/>
        <v>2856.8410715413133</v>
      </c>
      <c r="R33" s="57">
        <f t="shared" si="1"/>
        <v>2889.9804279711925</v>
      </c>
      <c r="S33" s="57">
        <f t="shared" si="1"/>
        <v>2923.5042009356584</v>
      </c>
      <c r="T33" s="57">
        <f t="shared" si="1"/>
        <v>2957.4168496665125</v>
      </c>
      <c r="U33" s="57">
        <f t="shared" si="1"/>
        <v>2991.722885122644</v>
      </c>
      <c r="V33" s="140">
        <f t="shared" si="1"/>
        <v>3026.4268705900668</v>
      </c>
    </row>
    <row r="34" spans="1:22" ht="19.5" customHeight="1">
      <c r="A34" s="141" t="s">
        <v>194</v>
      </c>
      <c r="B34" s="58">
        <f>C11</f>
        <v>2403</v>
      </c>
      <c r="C34" s="58">
        <f>C33*C35</f>
        <v>2430.8748</v>
      </c>
      <c r="D34" s="58">
        <f aca="true" t="shared" si="2" ref="D34:V34">D33*D35</f>
        <v>2459.07294768</v>
      </c>
      <c r="E34" s="58">
        <f t="shared" si="2"/>
        <v>2487.5981938730883</v>
      </c>
      <c r="F34" s="58">
        <f t="shared" si="2"/>
        <v>2516.4543329220164</v>
      </c>
      <c r="G34" s="58">
        <f t="shared" si="2"/>
        <v>2545.645203183912</v>
      </c>
      <c r="H34" s="58">
        <f t="shared" si="2"/>
        <v>2575.1746875408458</v>
      </c>
      <c r="I34" s="58">
        <f t="shared" si="2"/>
        <v>2605.0467139163197</v>
      </c>
      <c r="J34" s="58">
        <f t="shared" si="2"/>
        <v>2635.265255797749</v>
      </c>
      <c r="K34" s="58">
        <f t="shared" si="2"/>
        <v>2665.834332765003</v>
      </c>
      <c r="L34" s="58">
        <f t="shared" si="2"/>
        <v>2696.7580110250774</v>
      </c>
      <c r="M34" s="58">
        <f t="shared" si="2"/>
        <v>2728.0404039529685</v>
      </c>
      <c r="N34" s="58">
        <f t="shared" si="2"/>
        <v>2759.6856726388232</v>
      </c>
      <c r="O34" s="58">
        <f t="shared" si="2"/>
        <v>2791.6980264414337</v>
      </c>
      <c r="P34" s="58">
        <f t="shared" si="2"/>
        <v>2824.0817235481545</v>
      </c>
      <c r="Q34" s="58">
        <f t="shared" si="2"/>
        <v>2856.8410715413133</v>
      </c>
      <c r="R34" s="58">
        <f t="shared" si="2"/>
        <v>2889.9804279711925</v>
      </c>
      <c r="S34" s="58">
        <f t="shared" si="2"/>
        <v>2923.5042009356584</v>
      </c>
      <c r="T34" s="58">
        <f t="shared" si="2"/>
        <v>2957.4168496665125</v>
      </c>
      <c r="U34" s="58">
        <f t="shared" si="2"/>
        <v>2991.722885122644</v>
      </c>
      <c r="V34" s="142">
        <f t="shared" si="2"/>
        <v>3026.4268705900668</v>
      </c>
    </row>
    <row r="35" spans="1:22" ht="19.5" customHeight="1">
      <c r="A35" s="143" t="s">
        <v>42</v>
      </c>
      <c r="B35" s="59">
        <f>C12</f>
        <v>1</v>
      </c>
      <c r="C35" s="59">
        <f>B35*(1+(($C$13/$C$12)^(1/20)-1))</f>
        <v>1</v>
      </c>
      <c r="D35" s="59">
        <f aca="true" t="shared" si="3" ref="D35:V35">C35*(1+(($C$13/$C$12)^(1/20)-1))</f>
        <v>1</v>
      </c>
      <c r="E35" s="59">
        <f t="shared" si="3"/>
        <v>1</v>
      </c>
      <c r="F35" s="59">
        <f t="shared" si="3"/>
        <v>1</v>
      </c>
      <c r="G35" s="59">
        <f t="shared" si="3"/>
        <v>1</v>
      </c>
      <c r="H35" s="59">
        <f t="shared" si="3"/>
        <v>1</v>
      </c>
      <c r="I35" s="59">
        <f t="shared" si="3"/>
        <v>1</v>
      </c>
      <c r="J35" s="59">
        <f t="shared" si="3"/>
        <v>1</v>
      </c>
      <c r="K35" s="59">
        <f t="shared" si="3"/>
        <v>1</v>
      </c>
      <c r="L35" s="59">
        <f t="shared" si="3"/>
        <v>1</v>
      </c>
      <c r="M35" s="59">
        <f t="shared" si="3"/>
        <v>1</v>
      </c>
      <c r="N35" s="59">
        <f t="shared" si="3"/>
        <v>1</v>
      </c>
      <c r="O35" s="59">
        <f t="shared" si="3"/>
        <v>1</v>
      </c>
      <c r="P35" s="59">
        <f t="shared" si="3"/>
        <v>1</v>
      </c>
      <c r="Q35" s="59">
        <f t="shared" si="3"/>
        <v>1</v>
      </c>
      <c r="R35" s="59">
        <f t="shared" si="3"/>
        <v>1</v>
      </c>
      <c r="S35" s="59">
        <f t="shared" si="3"/>
        <v>1</v>
      </c>
      <c r="T35" s="59">
        <f t="shared" si="3"/>
        <v>1</v>
      </c>
      <c r="U35" s="59">
        <f t="shared" si="3"/>
        <v>1</v>
      </c>
      <c r="V35" s="144">
        <f t="shared" si="3"/>
        <v>1</v>
      </c>
    </row>
    <row r="36" spans="1:22" ht="15">
      <c r="A36" s="143" t="s">
        <v>31</v>
      </c>
      <c r="B36" s="60">
        <f>SUM(B37:B40)</f>
        <v>546</v>
      </c>
      <c r="C36" s="60">
        <f>ROUND(C34/$C$9,0)</f>
        <v>552</v>
      </c>
      <c r="D36" s="60">
        <f>ROUND(D34/$C$9,0)</f>
        <v>559</v>
      </c>
      <c r="E36" s="60">
        <f aca="true" t="shared" si="4" ref="E36:V36">ROUND(E34/$C$9,0)</f>
        <v>565</v>
      </c>
      <c r="F36" s="60">
        <f t="shared" si="4"/>
        <v>572</v>
      </c>
      <c r="G36" s="60">
        <f t="shared" si="4"/>
        <v>578</v>
      </c>
      <c r="H36" s="60">
        <f t="shared" si="4"/>
        <v>585</v>
      </c>
      <c r="I36" s="60">
        <f t="shared" si="4"/>
        <v>592</v>
      </c>
      <c r="J36" s="60">
        <f t="shared" si="4"/>
        <v>599</v>
      </c>
      <c r="K36" s="60">
        <f t="shared" si="4"/>
        <v>606</v>
      </c>
      <c r="L36" s="60">
        <f t="shared" si="4"/>
        <v>613</v>
      </c>
      <c r="M36" s="60">
        <f t="shared" si="4"/>
        <v>620</v>
      </c>
      <c r="N36" s="60">
        <f t="shared" si="4"/>
        <v>627</v>
      </c>
      <c r="O36" s="60">
        <f t="shared" si="4"/>
        <v>634</v>
      </c>
      <c r="P36" s="60">
        <f t="shared" si="4"/>
        <v>642</v>
      </c>
      <c r="Q36" s="60">
        <f t="shared" si="4"/>
        <v>649</v>
      </c>
      <c r="R36" s="60">
        <f t="shared" si="4"/>
        <v>657</v>
      </c>
      <c r="S36" s="60">
        <f t="shared" si="4"/>
        <v>664</v>
      </c>
      <c r="T36" s="60">
        <f t="shared" si="4"/>
        <v>672</v>
      </c>
      <c r="U36" s="60">
        <f t="shared" si="4"/>
        <v>680</v>
      </c>
      <c r="V36" s="145">
        <f t="shared" si="4"/>
        <v>688</v>
      </c>
    </row>
    <row r="37" spans="1:22" ht="15">
      <c r="A37" s="146" t="s">
        <v>68</v>
      </c>
      <c r="B37" s="57">
        <f>+P9</f>
        <v>537</v>
      </c>
      <c r="C37" s="57">
        <f>+C36-C38-C39-C40</f>
        <v>543</v>
      </c>
      <c r="D37" s="57">
        <f aca="true" t="shared" si="5" ref="D37:I37">+D36-D38-D39-D40</f>
        <v>550</v>
      </c>
      <c r="E37" s="57">
        <f t="shared" si="5"/>
        <v>556</v>
      </c>
      <c r="F37" s="57">
        <f t="shared" si="5"/>
        <v>563</v>
      </c>
      <c r="G37" s="57">
        <f t="shared" si="5"/>
        <v>568</v>
      </c>
      <c r="H37" s="57">
        <f t="shared" si="5"/>
        <v>575</v>
      </c>
      <c r="I37" s="57">
        <f t="shared" si="5"/>
        <v>582</v>
      </c>
      <c r="J37" s="57">
        <f aca="true" t="shared" si="6" ref="J37:V37">+J36-J38-J39-J40</f>
        <v>589</v>
      </c>
      <c r="K37" s="57">
        <f t="shared" si="6"/>
        <v>596</v>
      </c>
      <c r="L37" s="57">
        <f t="shared" si="6"/>
        <v>603</v>
      </c>
      <c r="M37" s="57">
        <f t="shared" si="6"/>
        <v>610</v>
      </c>
      <c r="N37" s="57">
        <f t="shared" si="6"/>
        <v>617</v>
      </c>
      <c r="O37" s="57">
        <f t="shared" si="6"/>
        <v>624</v>
      </c>
      <c r="P37" s="57">
        <f t="shared" si="6"/>
        <v>631</v>
      </c>
      <c r="Q37" s="57">
        <f t="shared" si="6"/>
        <v>638</v>
      </c>
      <c r="R37" s="57">
        <f t="shared" si="6"/>
        <v>646</v>
      </c>
      <c r="S37" s="57">
        <f t="shared" si="6"/>
        <v>653</v>
      </c>
      <c r="T37" s="57">
        <f t="shared" si="6"/>
        <v>661</v>
      </c>
      <c r="U37" s="57">
        <f t="shared" si="6"/>
        <v>669</v>
      </c>
      <c r="V37" s="140">
        <f t="shared" si="6"/>
        <v>677</v>
      </c>
    </row>
    <row r="38" spans="1:22" ht="15">
      <c r="A38" s="147" t="s">
        <v>71</v>
      </c>
      <c r="B38" s="61">
        <f>+P12</f>
        <v>0</v>
      </c>
      <c r="C38" s="61">
        <f aca="true" t="shared" si="7" ref="C38:V38">ROUND(C36*$C$17,0)</f>
        <v>0</v>
      </c>
      <c r="D38" s="61">
        <f t="shared" si="7"/>
        <v>0</v>
      </c>
      <c r="E38" s="61">
        <f t="shared" si="7"/>
        <v>0</v>
      </c>
      <c r="F38" s="61">
        <f t="shared" si="7"/>
        <v>0</v>
      </c>
      <c r="G38" s="61">
        <f t="shared" si="7"/>
        <v>0</v>
      </c>
      <c r="H38" s="61">
        <f t="shared" si="7"/>
        <v>0</v>
      </c>
      <c r="I38" s="61">
        <f t="shared" si="7"/>
        <v>0</v>
      </c>
      <c r="J38" s="61">
        <f t="shared" si="7"/>
        <v>0</v>
      </c>
      <c r="K38" s="61">
        <f t="shared" si="7"/>
        <v>0</v>
      </c>
      <c r="L38" s="61">
        <f t="shared" si="7"/>
        <v>0</v>
      </c>
      <c r="M38" s="61">
        <f t="shared" si="7"/>
        <v>0</v>
      </c>
      <c r="N38" s="61">
        <f t="shared" si="7"/>
        <v>0</v>
      </c>
      <c r="O38" s="61">
        <f t="shared" si="7"/>
        <v>0</v>
      </c>
      <c r="P38" s="61">
        <f t="shared" si="7"/>
        <v>0</v>
      </c>
      <c r="Q38" s="61">
        <f t="shared" si="7"/>
        <v>0</v>
      </c>
      <c r="R38" s="61">
        <f t="shared" si="7"/>
        <v>0</v>
      </c>
      <c r="S38" s="61">
        <f t="shared" si="7"/>
        <v>0</v>
      </c>
      <c r="T38" s="61">
        <f t="shared" si="7"/>
        <v>0</v>
      </c>
      <c r="U38" s="61">
        <f t="shared" si="7"/>
        <v>0</v>
      </c>
      <c r="V38" s="148">
        <f t="shared" si="7"/>
        <v>0</v>
      </c>
    </row>
    <row r="39" spans="1:22" ht="15">
      <c r="A39" s="147" t="s">
        <v>111</v>
      </c>
      <c r="B39" s="61">
        <f>+P13</f>
        <v>9</v>
      </c>
      <c r="C39" s="61">
        <f aca="true" t="shared" si="8" ref="C39:V39">ROUND(C36*$C$18,0)</f>
        <v>9</v>
      </c>
      <c r="D39" s="61">
        <f t="shared" si="8"/>
        <v>9</v>
      </c>
      <c r="E39" s="61">
        <f t="shared" si="8"/>
        <v>9</v>
      </c>
      <c r="F39" s="61">
        <f t="shared" si="8"/>
        <v>9</v>
      </c>
      <c r="G39" s="61">
        <f t="shared" si="8"/>
        <v>10</v>
      </c>
      <c r="H39" s="61">
        <f t="shared" si="8"/>
        <v>10</v>
      </c>
      <c r="I39" s="61">
        <f t="shared" si="8"/>
        <v>10</v>
      </c>
      <c r="J39" s="61">
        <f t="shared" si="8"/>
        <v>10</v>
      </c>
      <c r="K39" s="61">
        <f t="shared" si="8"/>
        <v>10</v>
      </c>
      <c r="L39" s="61">
        <f t="shared" si="8"/>
        <v>10</v>
      </c>
      <c r="M39" s="61">
        <f t="shared" si="8"/>
        <v>10</v>
      </c>
      <c r="N39" s="61">
        <f t="shared" si="8"/>
        <v>10</v>
      </c>
      <c r="O39" s="61">
        <f t="shared" si="8"/>
        <v>10</v>
      </c>
      <c r="P39" s="61">
        <f t="shared" si="8"/>
        <v>11</v>
      </c>
      <c r="Q39" s="61">
        <f t="shared" si="8"/>
        <v>11</v>
      </c>
      <c r="R39" s="61">
        <f t="shared" si="8"/>
        <v>11</v>
      </c>
      <c r="S39" s="61">
        <f t="shared" si="8"/>
        <v>11</v>
      </c>
      <c r="T39" s="61">
        <f t="shared" si="8"/>
        <v>11</v>
      </c>
      <c r="U39" s="61">
        <f t="shared" si="8"/>
        <v>11</v>
      </c>
      <c r="V39" s="148">
        <f t="shared" si="8"/>
        <v>11</v>
      </c>
    </row>
    <row r="40" spans="1:22" ht="15">
      <c r="A40" s="147" t="s">
        <v>79</v>
      </c>
      <c r="B40" s="61">
        <f>+P14</f>
        <v>0</v>
      </c>
      <c r="C40" s="61">
        <f aca="true" t="shared" si="9" ref="C40:V40">ROUND(C36*$C$19,0)</f>
        <v>0</v>
      </c>
      <c r="D40" s="61">
        <f t="shared" si="9"/>
        <v>0</v>
      </c>
      <c r="E40" s="61">
        <f t="shared" si="9"/>
        <v>0</v>
      </c>
      <c r="F40" s="61">
        <f t="shared" si="9"/>
        <v>0</v>
      </c>
      <c r="G40" s="61">
        <f t="shared" si="9"/>
        <v>0</v>
      </c>
      <c r="H40" s="61">
        <f t="shared" si="9"/>
        <v>0</v>
      </c>
      <c r="I40" s="61">
        <f t="shared" si="9"/>
        <v>0</v>
      </c>
      <c r="J40" s="61">
        <f t="shared" si="9"/>
        <v>0</v>
      </c>
      <c r="K40" s="61">
        <f t="shared" si="9"/>
        <v>0</v>
      </c>
      <c r="L40" s="61">
        <f t="shared" si="9"/>
        <v>0</v>
      </c>
      <c r="M40" s="61">
        <f t="shared" si="9"/>
        <v>0</v>
      </c>
      <c r="N40" s="61">
        <f t="shared" si="9"/>
        <v>0</v>
      </c>
      <c r="O40" s="61">
        <f t="shared" si="9"/>
        <v>0</v>
      </c>
      <c r="P40" s="61">
        <f t="shared" si="9"/>
        <v>0</v>
      </c>
      <c r="Q40" s="61">
        <f t="shared" si="9"/>
        <v>0</v>
      </c>
      <c r="R40" s="61">
        <f t="shared" si="9"/>
        <v>0</v>
      </c>
      <c r="S40" s="61">
        <f t="shared" si="9"/>
        <v>0</v>
      </c>
      <c r="T40" s="61">
        <f t="shared" si="9"/>
        <v>0</v>
      </c>
      <c r="U40" s="61">
        <f t="shared" si="9"/>
        <v>0</v>
      </c>
      <c r="V40" s="148">
        <f t="shared" si="9"/>
        <v>0</v>
      </c>
    </row>
    <row r="41" spans="1:22" ht="6.75" customHeight="1">
      <c r="A41" s="149"/>
      <c r="B41" s="62"/>
      <c r="C41" s="62"/>
      <c r="D41" s="62"/>
      <c r="E41" s="62"/>
      <c r="F41" s="62"/>
      <c r="G41" s="62"/>
      <c r="H41" s="62"/>
      <c r="I41" s="62"/>
      <c r="J41" s="62"/>
      <c r="K41" s="62"/>
      <c r="L41" s="62"/>
      <c r="M41" s="62"/>
      <c r="N41" s="62"/>
      <c r="O41" s="62"/>
      <c r="P41" s="62"/>
      <c r="Q41" s="62"/>
      <c r="R41" s="62"/>
      <c r="S41" s="62"/>
      <c r="T41" s="62"/>
      <c r="U41" s="62"/>
      <c r="V41" s="150"/>
    </row>
    <row r="42" spans="1:22" ht="15">
      <c r="A42" s="146" t="s">
        <v>83</v>
      </c>
      <c r="B42" s="57">
        <f>+P20*12</f>
        <v>300</v>
      </c>
      <c r="C42" s="57">
        <f aca="true" t="shared" si="10" ref="C42:V42">+B42*(1+$C$20)</f>
        <v>302.19</v>
      </c>
      <c r="D42" s="57">
        <f t="shared" si="10"/>
        <v>304.39598700000005</v>
      </c>
      <c r="E42" s="57">
        <f t="shared" si="10"/>
        <v>306.61807770510006</v>
      </c>
      <c r="F42" s="57">
        <f t="shared" si="10"/>
        <v>308.85638967234735</v>
      </c>
      <c r="G42" s="57">
        <f t="shared" si="10"/>
        <v>311.1110413169555</v>
      </c>
      <c r="H42" s="57">
        <f t="shared" si="10"/>
        <v>313.3821519185693</v>
      </c>
      <c r="I42" s="57">
        <f t="shared" si="10"/>
        <v>315.6698416275749</v>
      </c>
      <c r="J42" s="57">
        <f t="shared" si="10"/>
        <v>317.9742314714562</v>
      </c>
      <c r="K42" s="57">
        <f t="shared" si="10"/>
        <v>320.2954433611979</v>
      </c>
      <c r="L42" s="57">
        <f t="shared" si="10"/>
        <v>322.63360009773464</v>
      </c>
      <c r="M42" s="57">
        <f t="shared" si="10"/>
        <v>324.98882537844815</v>
      </c>
      <c r="N42" s="57">
        <f t="shared" si="10"/>
        <v>327.36124380371086</v>
      </c>
      <c r="O42" s="57">
        <f t="shared" si="10"/>
        <v>329.750980883478</v>
      </c>
      <c r="P42" s="57">
        <f t="shared" si="10"/>
        <v>332.1581630439274</v>
      </c>
      <c r="Q42" s="57">
        <f t="shared" si="10"/>
        <v>334.5829176341481</v>
      </c>
      <c r="R42" s="57">
        <f t="shared" si="10"/>
        <v>337.0253729328774</v>
      </c>
      <c r="S42" s="57">
        <f t="shared" si="10"/>
        <v>339.48565815528747</v>
      </c>
      <c r="T42" s="57">
        <f t="shared" si="10"/>
        <v>341.9639034598211</v>
      </c>
      <c r="U42" s="57">
        <f t="shared" si="10"/>
        <v>344.46023995507784</v>
      </c>
      <c r="V42" s="140">
        <f t="shared" si="10"/>
        <v>346.97479970674993</v>
      </c>
    </row>
    <row r="43" spans="1:22" ht="15">
      <c r="A43" s="147" t="s">
        <v>84</v>
      </c>
      <c r="B43" s="61">
        <f>+P23*12</f>
        <v>0</v>
      </c>
      <c r="C43" s="61">
        <f aca="true" t="shared" si="11" ref="C43:V43">+B43</f>
        <v>0</v>
      </c>
      <c r="D43" s="61">
        <f t="shared" si="11"/>
        <v>0</v>
      </c>
      <c r="E43" s="61">
        <f t="shared" si="11"/>
        <v>0</v>
      </c>
      <c r="F43" s="61">
        <f t="shared" si="11"/>
        <v>0</v>
      </c>
      <c r="G43" s="61">
        <f t="shared" si="11"/>
        <v>0</v>
      </c>
      <c r="H43" s="61">
        <f t="shared" si="11"/>
        <v>0</v>
      </c>
      <c r="I43" s="61">
        <f t="shared" si="11"/>
        <v>0</v>
      </c>
      <c r="J43" s="61">
        <f t="shared" si="11"/>
        <v>0</v>
      </c>
      <c r="K43" s="61">
        <f t="shared" si="11"/>
        <v>0</v>
      </c>
      <c r="L43" s="61">
        <f t="shared" si="11"/>
        <v>0</v>
      </c>
      <c r="M43" s="61">
        <f t="shared" si="11"/>
        <v>0</v>
      </c>
      <c r="N43" s="61">
        <f t="shared" si="11"/>
        <v>0</v>
      </c>
      <c r="O43" s="61">
        <f t="shared" si="11"/>
        <v>0</v>
      </c>
      <c r="P43" s="61">
        <f t="shared" si="11"/>
        <v>0</v>
      </c>
      <c r="Q43" s="61">
        <f t="shared" si="11"/>
        <v>0</v>
      </c>
      <c r="R43" s="61">
        <f t="shared" si="11"/>
        <v>0</v>
      </c>
      <c r="S43" s="61">
        <f t="shared" si="11"/>
        <v>0</v>
      </c>
      <c r="T43" s="61">
        <f t="shared" si="11"/>
        <v>0</v>
      </c>
      <c r="U43" s="61">
        <f t="shared" si="11"/>
        <v>0</v>
      </c>
      <c r="V43" s="148">
        <f t="shared" si="11"/>
        <v>0</v>
      </c>
    </row>
    <row r="44" spans="1:22" ht="15">
      <c r="A44" s="147" t="s">
        <v>85</v>
      </c>
      <c r="B44" s="61">
        <f>+P24*12</f>
        <v>471.36</v>
      </c>
      <c r="C44" s="61">
        <f aca="true" t="shared" si="12" ref="C44:V44">+B44</f>
        <v>471.36</v>
      </c>
      <c r="D44" s="61">
        <f t="shared" si="12"/>
        <v>471.36</v>
      </c>
      <c r="E44" s="61">
        <f t="shared" si="12"/>
        <v>471.36</v>
      </c>
      <c r="F44" s="61">
        <f t="shared" si="12"/>
        <v>471.36</v>
      </c>
      <c r="G44" s="61">
        <f t="shared" si="12"/>
        <v>471.36</v>
      </c>
      <c r="H44" s="61">
        <f t="shared" si="12"/>
        <v>471.36</v>
      </c>
      <c r="I44" s="61">
        <f t="shared" si="12"/>
        <v>471.36</v>
      </c>
      <c r="J44" s="61">
        <f t="shared" si="12"/>
        <v>471.36</v>
      </c>
      <c r="K44" s="61">
        <f t="shared" si="12"/>
        <v>471.36</v>
      </c>
      <c r="L44" s="61">
        <f t="shared" si="12"/>
        <v>471.36</v>
      </c>
      <c r="M44" s="61">
        <f t="shared" si="12"/>
        <v>471.36</v>
      </c>
      <c r="N44" s="61">
        <f t="shared" si="12"/>
        <v>471.36</v>
      </c>
      <c r="O44" s="61">
        <f t="shared" si="12"/>
        <v>471.36</v>
      </c>
      <c r="P44" s="61">
        <f t="shared" si="12"/>
        <v>471.36</v>
      </c>
      <c r="Q44" s="61">
        <f t="shared" si="12"/>
        <v>471.36</v>
      </c>
      <c r="R44" s="61">
        <f t="shared" si="12"/>
        <v>471.36</v>
      </c>
      <c r="S44" s="61">
        <f t="shared" si="12"/>
        <v>471.36</v>
      </c>
      <c r="T44" s="61">
        <f t="shared" si="12"/>
        <v>471.36</v>
      </c>
      <c r="U44" s="61">
        <f t="shared" si="12"/>
        <v>471.36</v>
      </c>
      <c r="V44" s="148">
        <f t="shared" si="12"/>
        <v>471.36</v>
      </c>
    </row>
    <row r="45" spans="1:22" ht="15">
      <c r="A45" s="147" t="s">
        <v>86</v>
      </c>
      <c r="B45" s="61">
        <f>+P25*12</f>
        <v>0</v>
      </c>
      <c r="C45" s="61">
        <f aca="true" t="shared" si="13" ref="C45:V45">+B45</f>
        <v>0</v>
      </c>
      <c r="D45" s="61">
        <f t="shared" si="13"/>
        <v>0</v>
      </c>
      <c r="E45" s="61">
        <f t="shared" si="13"/>
        <v>0</v>
      </c>
      <c r="F45" s="61">
        <f t="shared" si="13"/>
        <v>0</v>
      </c>
      <c r="G45" s="61">
        <f t="shared" si="13"/>
        <v>0</v>
      </c>
      <c r="H45" s="61">
        <f t="shared" si="13"/>
        <v>0</v>
      </c>
      <c r="I45" s="61">
        <f t="shared" si="13"/>
        <v>0</v>
      </c>
      <c r="J45" s="61">
        <f t="shared" si="13"/>
        <v>0</v>
      </c>
      <c r="K45" s="61">
        <f t="shared" si="13"/>
        <v>0</v>
      </c>
      <c r="L45" s="61">
        <f t="shared" si="13"/>
        <v>0</v>
      </c>
      <c r="M45" s="61">
        <f t="shared" si="13"/>
        <v>0</v>
      </c>
      <c r="N45" s="61">
        <f t="shared" si="13"/>
        <v>0</v>
      </c>
      <c r="O45" s="61">
        <f t="shared" si="13"/>
        <v>0</v>
      </c>
      <c r="P45" s="61">
        <f t="shared" si="13"/>
        <v>0</v>
      </c>
      <c r="Q45" s="61">
        <f t="shared" si="13"/>
        <v>0</v>
      </c>
      <c r="R45" s="61">
        <f t="shared" si="13"/>
        <v>0</v>
      </c>
      <c r="S45" s="61">
        <f t="shared" si="13"/>
        <v>0</v>
      </c>
      <c r="T45" s="61">
        <f t="shared" si="13"/>
        <v>0</v>
      </c>
      <c r="U45" s="61">
        <f t="shared" si="13"/>
        <v>0</v>
      </c>
      <c r="V45" s="148">
        <f t="shared" si="13"/>
        <v>0</v>
      </c>
    </row>
    <row r="46" spans="1:22" ht="7.5" customHeight="1">
      <c r="A46" s="151"/>
      <c r="B46" s="62"/>
      <c r="C46" s="62"/>
      <c r="D46" s="62"/>
      <c r="E46" s="62"/>
      <c r="F46" s="62"/>
      <c r="G46" s="62"/>
      <c r="H46" s="62"/>
      <c r="I46" s="62"/>
      <c r="J46" s="62"/>
      <c r="K46" s="62"/>
      <c r="L46" s="62"/>
      <c r="M46" s="62"/>
      <c r="N46" s="62"/>
      <c r="O46" s="62"/>
      <c r="P46" s="62"/>
      <c r="Q46" s="62"/>
      <c r="R46" s="62"/>
      <c r="S46" s="62"/>
      <c r="T46" s="62"/>
      <c r="U46" s="62"/>
      <c r="V46" s="150"/>
    </row>
    <row r="47" spans="1:22" ht="15">
      <c r="A47" s="146" t="s">
        <v>87</v>
      </c>
      <c r="B47" s="57">
        <f>+B42*B37</f>
        <v>161100</v>
      </c>
      <c r="C47" s="57">
        <f aca="true" t="shared" si="14" ref="C47:V47">+C42*C37</f>
        <v>164089.17</v>
      </c>
      <c r="D47" s="57">
        <f t="shared" si="14"/>
        <v>167417.79285000003</v>
      </c>
      <c r="E47" s="57">
        <f t="shared" si="14"/>
        <v>170479.65120403565</v>
      </c>
      <c r="F47" s="57">
        <f t="shared" si="14"/>
        <v>173886.14738553157</v>
      </c>
      <c r="G47" s="57">
        <f t="shared" si="14"/>
        <v>176711.0714680307</v>
      </c>
      <c r="H47" s="57">
        <f t="shared" si="14"/>
        <v>180194.73735317736</v>
      </c>
      <c r="I47" s="57">
        <f t="shared" si="14"/>
        <v>183719.8478272486</v>
      </c>
      <c r="J47" s="57">
        <f t="shared" si="14"/>
        <v>187286.8223366877</v>
      </c>
      <c r="K47" s="57">
        <f t="shared" si="14"/>
        <v>190896.08424327394</v>
      </c>
      <c r="L47" s="57">
        <f t="shared" si="14"/>
        <v>194548.06085893398</v>
      </c>
      <c r="M47" s="57">
        <f t="shared" si="14"/>
        <v>198243.18348085336</v>
      </c>
      <c r="N47" s="57">
        <f t="shared" si="14"/>
        <v>201981.8874268896</v>
      </c>
      <c r="O47" s="57">
        <f t="shared" si="14"/>
        <v>205764.61207129026</v>
      </c>
      <c r="P47" s="57">
        <f t="shared" si="14"/>
        <v>209591.8008807182</v>
      </c>
      <c r="Q47" s="57">
        <f t="shared" si="14"/>
        <v>213463.90145058648</v>
      </c>
      <c r="R47" s="57">
        <f t="shared" si="14"/>
        <v>217718.39091463882</v>
      </c>
      <c r="S47" s="57">
        <f t="shared" si="14"/>
        <v>221684.13477540272</v>
      </c>
      <c r="T47" s="57">
        <f t="shared" si="14"/>
        <v>226038.14018694175</v>
      </c>
      <c r="U47" s="57">
        <f t="shared" si="14"/>
        <v>230443.90052994707</v>
      </c>
      <c r="V47" s="140">
        <f t="shared" si="14"/>
        <v>234901.93940146972</v>
      </c>
    </row>
    <row r="48" spans="1:22" ht="15">
      <c r="A48" s="147" t="s">
        <v>88</v>
      </c>
      <c r="B48" s="61">
        <f>+B43*B38</f>
        <v>0</v>
      </c>
      <c r="C48" s="61">
        <f aca="true" t="shared" si="15" ref="C48:V48">+C43*C38</f>
        <v>0</v>
      </c>
      <c r="D48" s="61">
        <f t="shared" si="15"/>
        <v>0</v>
      </c>
      <c r="E48" s="61">
        <f t="shared" si="15"/>
        <v>0</v>
      </c>
      <c r="F48" s="61">
        <f t="shared" si="15"/>
        <v>0</v>
      </c>
      <c r="G48" s="61">
        <f t="shared" si="15"/>
        <v>0</v>
      </c>
      <c r="H48" s="61">
        <f t="shared" si="15"/>
        <v>0</v>
      </c>
      <c r="I48" s="61">
        <f t="shared" si="15"/>
        <v>0</v>
      </c>
      <c r="J48" s="61">
        <f t="shared" si="15"/>
        <v>0</v>
      </c>
      <c r="K48" s="61">
        <f t="shared" si="15"/>
        <v>0</v>
      </c>
      <c r="L48" s="61">
        <f t="shared" si="15"/>
        <v>0</v>
      </c>
      <c r="M48" s="61">
        <f t="shared" si="15"/>
        <v>0</v>
      </c>
      <c r="N48" s="61">
        <f t="shared" si="15"/>
        <v>0</v>
      </c>
      <c r="O48" s="61">
        <f t="shared" si="15"/>
        <v>0</v>
      </c>
      <c r="P48" s="61">
        <f t="shared" si="15"/>
        <v>0</v>
      </c>
      <c r="Q48" s="61">
        <f t="shared" si="15"/>
        <v>0</v>
      </c>
      <c r="R48" s="61">
        <f t="shared" si="15"/>
        <v>0</v>
      </c>
      <c r="S48" s="61">
        <f t="shared" si="15"/>
        <v>0</v>
      </c>
      <c r="T48" s="61">
        <f t="shared" si="15"/>
        <v>0</v>
      </c>
      <c r="U48" s="61">
        <f t="shared" si="15"/>
        <v>0</v>
      </c>
      <c r="V48" s="148">
        <f t="shared" si="15"/>
        <v>0</v>
      </c>
    </row>
    <row r="49" spans="1:22" ht="15">
      <c r="A49" s="147" t="s">
        <v>90</v>
      </c>
      <c r="B49" s="61">
        <f>+B44*B39</f>
        <v>4242.24</v>
      </c>
      <c r="C49" s="61">
        <f aca="true" t="shared" si="16" ref="C49:V49">+C44*C39</f>
        <v>4242.24</v>
      </c>
      <c r="D49" s="61">
        <f t="shared" si="16"/>
        <v>4242.24</v>
      </c>
      <c r="E49" s="61">
        <f t="shared" si="16"/>
        <v>4242.24</v>
      </c>
      <c r="F49" s="61">
        <f t="shared" si="16"/>
        <v>4242.24</v>
      </c>
      <c r="G49" s="61">
        <f t="shared" si="16"/>
        <v>4713.6</v>
      </c>
      <c r="H49" s="61">
        <f t="shared" si="16"/>
        <v>4713.6</v>
      </c>
      <c r="I49" s="61">
        <f t="shared" si="16"/>
        <v>4713.6</v>
      </c>
      <c r="J49" s="61">
        <f t="shared" si="16"/>
        <v>4713.6</v>
      </c>
      <c r="K49" s="61">
        <f t="shared" si="16"/>
        <v>4713.6</v>
      </c>
      <c r="L49" s="61">
        <f t="shared" si="16"/>
        <v>4713.6</v>
      </c>
      <c r="M49" s="61">
        <f t="shared" si="16"/>
        <v>4713.6</v>
      </c>
      <c r="N49" s="61">
        <f t="shared" si="16"/>
        <v>4713.6</v>
      </c>
      <c r="O49" s="61">
        <f t="shared" si="16"/>
        <v>4713.6</v>
      </c>
      <c r="P49" s="61">
        <f t="shared" si="16"/>
        <v>5184.96</v>
      </c>
      <c r="Q49" s="61">
        <f t="shared" si="16"/>
        <v>5184.96</v>
      </c>
      <c r="R49" s="61">
        <f t="shared" si="16"/>
        <v>5184.96</v>
      </c>
      <c r="S49" s="61">
        <f t="shared" si="16"/>
        <v>5184.96</v>
      </c>
      <c r="T49" s="61">
        <f t="shared" si="16"/>
        <v>5184.96</v>
      </c>
      <c r="U49" s="61">
        <f t="shared" si="16"/>
        <v>5184.96</v>
      </c>
      <c r="V49" s="148">
        <f t="shared" si="16"/>
        <v>5184.96</v>
      </c>
    </row>
    <row r="50" spans="1:22" ht="15">
      <c r="A50" s="147" t="s">
        <v>89</v>
      </c>
      <c r="B50" s="61">
        <f>+B45*B40</f>
        <v>0</v>
      </c>
      <c r="C50" s="61">
        <f aca="true" t="shared" si="17" ref="C50:V50">+C45*C40</f>
        <v>0</v>
      </c>
      <c r="D50" s="61">
        <f t="shared" si="17"/>
        <v>0</v>
      </c>
      <c r="E50" s="61">
        <f t="shared" si="17"/>
        <v>0</v>
      </c>
      <c r="F50" s="61">
        <f t="shared" si="17"/>
        <v>0</v>
      </c>
      <c r="G50" s="61">
        <f t="shared" si="17"/>
        <v>0</v>
      </c>
      <c r="H50" s="61">
        <f t="shared" si="17"/>
        <v>0</v>
      </c>
      <c r="I50" s="61">
        <f t="shared" si="17"/>
        <v>0</v>
      </c>
      <c r="J50" s="61">
        <f t="shared" si="17"/>
        <v>0</v>
      </c>
      <c r="K50" s="61">
        <f t="shared" si="17"/>
        <v>0</v>
      </c>
      <c r="L50" s="61">
        <f t="shared" si="17"/>
        <v>0</v>
      </c>
      <c r="M50" s="61">
        <f t="shared" si="17"/>
        <v>0</v>
      </c>
      <c r="N50" s="61">
        <f t="shared" si="17"/>
        <v>0</v>
      </c>
      <c r="O50" s="61">
        <f t="shared" si="17"/>
        <v>0</v>
      </c>
      <c r="P50" s="61">
        <f t="shared" si="17"/>
        <v>0</v>
      </c>
      <c r="Q50" s="61">
        <f t="shared" si="17"/>
        <v>0</v>
      </c>
      <c r="R50" s="61">
        <f t="shared" si="17"/>
        <v>0</v>
      </c>
      <c r="S50" s="61">
        <f t="shared" si="17"/>
        <v>0</v>
      </c>
      <c r="T50" s="61">
        <f t="shared" si="17"/>
        <v>0</v>
      </c>
      <c r="U50" s="61">
        <f t="shared" si="17"/>
        <v>0</v>
      </c>
      <c r="V50" s="148">
        <f t="shared" si="17"/>
        <v>0</v>
      </c>
    </row>
    <row r="51" spans="1:22" ht="15">
      <c r="A51" s="152" t="s">
        <v>318</v>
      </c>
      <c r="B51" s="64">
        <f>SUM(B47:B50)</f>
        <v>165342.24</v>
      </c>
      <c r="C51" s="64">
        <f>SUM(C47:C50)</f>
        <v>168331.41</v>
      </c>
      <c r="D51" s="64">
        <f aca="true" t="shared" si="18" ref="D51:V51">SUM(D47:D50)</f>
        <v>171660.03285000002</v>
      </c>
      <c r="E51" s="64">
        <f t="shared" si="18"/>
        <v>174721.89120403564</v>
      </c>
      <c r="F51" s="64">
        <f t="shared" si="18"/>
        <v>178128.38738553156</v>
      </c>
      <c r="G51" s="64">
        <f t="shared" si="18"/>
        <v>181424.67146803072</v>
      </c>
      <c r="H51" s="64">
        <f t="shared" si="18"/>
        <v>184908.33735317737</v>
      </c>
      <c r="I51" s="64">
        <f t="shared" si="18"/>
        <v>188433.4478272486</v>
      </c>
      <c r="J51" s="64">
        <f t="shared" si="18"/>
        <v>192000.4223366877</v>
      </c>
      <c r="K51" s="64">
        <f t="shared" si="18"/>
        <v>195609.68424327395</v>
      </c>
      <c r="L51" s="64">
        <f t="shared" si="18"/>
        <v>199261.660858934</v>
      </c>
      <c r="M51" s="64">
        <f t="shared" si="18"/>
        <v>202956.78348085337</v>
      </c>
      <c r="N51" s="64">
        <f t="shared" si="18"/>
        <v>206695.4874268896</v>
      </c>
      <c r="O51" s="64">
        <f t="shared" si="18"/>
        <v>210478.21207129027</v>
      </c>
      <c r="P51" s="64">
        <f t="shared" si="18"/>
        <v>214776.76088071818</v>
      </c>
      <c r="Q51" s="64">
        <f t="shared" si="18"/>
        <v>218648.86145058647</v>
      </c>
      <c r="R51" s="64">
        <f t="shared" si="18"/>
        <v>222903.3509146388</v>
      </c>
      <c r="S51" s="64">
        <f t="shared" si="18"/>
        <v>226869.09477540271</v>
      </c>
      <c r="T51" s="64">
        <f t="shared" si="18"/>
        <v>231223.10018694174</v>
      </c>
      <c r="U51" s="64">
        <f t="shared" si="18"/>
        <v>235628.86052994707</v>
      </c>
      <c r="V51" s="153">
        <f t="shared" si="18"/>
        <v>240086.8994014697</v>
      </c>
    </row>
    <row r="52" spans="1:22" ht="15">
      <c r="A52" s="777" t="s">
        <v>97</v>
      </c>
      <c r="B52" s="381"/>
      <c r="C52" s="381"/>
      <c r="D52" s="381"/>
      <c r="E52" s="381"/>
      <c r="F52" s="381"/>
      <c r="G52" s="381"/>
      <c r="H52" s="381"/>
      <c r="I52" s="381"/>
      <c r="J52" s="381"/>
      <c r="K52" s="381"/>
      <c r="L52" s="381"/>
      <c r="M52" s="381"/>
      <c r="N52" s="381"/>
      <c r="O52" s="381"/>
      <c r="P52" s="381"/>
      <c r="Q52" s="381"/>
      <c r="R52" s="381"/>
      <c r="S52" s="381"/>
      <c r="T52" s="381"/>
      <c r="U52" s="381"/>
      <c r="V52" s="382"/>
    </row>
    <row r="53" spans="1:22" ht="15">
      <c r="A53" s="778" t="s">
        <v>96</v>
      </c>
      <c r="B53" s="381">
        <f aca="true" t="shared" si="19" ref="B53:V53">IF(ST="SER",1*B36*KALP,B36*KALP)</f>
        <v>3439.7999999999997</v>
      </c>
      <c r="C53" s="381">
        <f t="shared" si="19"/>
        <v>3477.6</v>
      </c>
      <c r="D53" s="381">
        <f t="shared" si="19"/>
        <v>3521.7</v>
      </c>
      <c r="E53" s="381">
        <f t="shared" si="19"/>
        <v>3559.5</v>
      </c>
      <c r="F53" s="381">
        <f t="shared" si="19"/>
        <v>3603.6</v>
      </c>
      <c r="G53" s="381">
        <f t="shared" si="19"/>
        <v>3641.4</v>
      </c>
      <c r="H53" s="381">
        <f t="shared" si="19"/>
        <v>3685.5</v>
      </c>
      <c r="I53" s="381">
        <f t="shared" si="19"/>
        <v>3729.6</v>
      </c>
      <c r="J53" s="381">
        <f t="shared" si="19"/>
        <v>3773.7</v>
      </c>
      <c r="K53" s="381">
        <f t="shared" si="19"/>
        <v>3817.7999999999997</v>
      </c>
      <c r="L53" s="381">
        <f t="shared" si="19"/>
        <v>3861.9</v>
      </c>
      <c r="M53" s="381">
        <f t="shared" si="19"/>
        <v>3906</v>
      </c>
      <c r="N53" s="381">
        <f t="shared" si="19"/>
        <v>3950.1</v>
      </c>
      <c r="O53" s="381">
        <f t="shared" si="19"/>
        <v>3994.2</v>
      </c>
      <c r="P53" s="381">
        <f t="shared" si="19"/>
        <v>4044.6</v>
      </c>
      <c r="Q53" s="381">
        <f t="shared" si="19"/>
        <v>4088.7</v>
      </c>
      <c r="R53" s="381">
        <f t="shared" si="19"/>
        <v>4139.099999999999</v>
      </c>
      <c r="S53" s="381">
        <f t="shared" si="19"/>
        <v>4183.2</v>
      </c>
      <c r="T53" s="381">
        <f t="shared" si="19"/>
        <v>4233.599999999999</v>
      </c>
      <c r="U53" s="381">
        <f t="shared" si="19"/>
        <v>4284</v>
      </c>
      <c r="V53" s="382">
        <f t="shared" si="19"/>
        <v>4334.4</v>
      </c>
    </row>
    <row r="54" spans="1:22" ht="15">
      <c r="A54" s="380" t="s">
        <v>317</v>
      </c>
      <c r="B54" s="381">
        <f aca="true" t="shared" si="20" ref="B54:V54">IF(SEL="Sistema Fotovoltaico",0,ROUNDDOWN(B53/(0.36*(PPL+10)),0))</f>
        <v>159</v>
      </c>
      <c r="C54" s="381">
        <f t="shared" si="20"/>
        <v>161</v>
      </c>
      <c r="D54" s="381">
        <f t="shared" si="20"/>
        <v>163</v>
      </c>
      <c r="E54" s="381">
        <f t="shared" si="20"/>
        <v>164</v>
      </c>
      <c r="F54" s="381">
        <f t="shared" si="20"/>
        <v>166</v>
      </c>
      <c r="G54" s="381">
        <f t="shared" si="20"/>
        <v>168</v>
      </c>
      <c r="H54" s="381">
        <f t="shared" si="20"/>
        <v>170</v>
      </c>
      <c r="I54" s="381">
        <f t="shared" si="20"/>
        <v>172</v>
      </c>
      <c r="J54" s="381">
        <f t="shared" si="20"/>
        <v>174</v>
      </c>
      <c r="K54" s="381">
        <f t="shared" si="20"/>
        <v>176</v>
      </c>
      <c r="L54" s="381">
        <f t="shared" si="20"/>
        <v>178</v>
      </c>
      <c r="M54" s="381">
        <f t="shared" si="20"/>
        <v>180</v>
      </c>
      <c r="N54" s="381">
        <f t="shared" si="20"/>
        <v>182</v>
      </c>
      <c r="O54" s="381">
        <f t="shared" si="20"/>
        <v>184</v>
      </c>
      <c r="P54" s="381">
        <f t="shared" si="20"/>
        <v>187</v>
      </c>
      <c r="Q54" s="381">
        <f t="shared" si="20"/>
        <v>189</v>
      </c>
      <c r="R54" s="381">
        <f t="shared" si="20"/>
        <v>191</v>
      </c>
      <c r="S54" s="381">
        <f t="shared" si="20"/>
        <v>193</v>
      </c>
      <c r="T54" s="381">
        <f t="shared" si="20"/>
        <v>196</v>
      </c>
      <c r="U54" s="381">
        <f t="shared" si="20"/>
        <v>198</v>
      </c>
      <c r="V54" s="382">
        <f t="shared" si="20"/>
        <v>200</v>
      </c>
    </row>
    <row r="55" spans="1:22" ht="15">
      <c r="A55" s="380" t="s">
        <v>319</v>
      </c>
      <c r="B55" s="381">
        <f>Entrada!J25</f>
        <v>0</v>
      </c>
      <c r="C55" s="381">
        <f>B55</f>
        <v>0</v>
      </c>
      <c r="D55" s="381">
        <f aca="true" t="shared" si="21" ref="D55:V55">C55</f>
        <v>0</v>
      </c>
      <c r="E55" s="381">
        <f t="shared" si="21"/>
        <v>0</v>
      </c>
      <c r="F55" s="381">
        <f t="shared" si="21"/>
        <v>0</v>
      </c>
      <c r="G55" s="381">
        <f t="shared" si="21"/>
        <v>0</v>
      </c>
      <c r="H55" s="381">
        <f t="shared" si="21"/>
        <v>0</v>
      </c>
      <c r="I55" s="381">
        <f t="shared" si="21"/>
        <v>0</v>
      </c>
      <c r="J55" s="381">
        <f t="shared" si="21"/>
        <v>0</v>
      </c>
      <c r="K55" s="381">
        <f t="shared" si="21"/>
        <v>0</v>
      </c>
      <c r="L55" s="381">
        <f t="shared" si="21"/>
        <v>0</v>
      </c>
      <c r="M55" s="381">
        <f t="shared" si="21"/>
        <v>0</v>
      </c>
      <c r="N55" s="381">
        <f t="shared" si="21"/>
        <v>0</v>
      </c>
      <c r="O55" s="381">
        <f t="shared" si="21"/>
        <v>0</v>
      </c>
      <c r="P55" s="381">
        <f t="shared" si="21"/>
        <v>0</v>
      </c>
      <c r="Q55" s="381">
        <f t="shared" si="21"/>
        <v>0</v>
      </c>
      <c r="R55" s="381">
        <f t="shared" si="21"/>
        <v>0</v>
      </c>
      <c r="S55" s="381">
        <f t="shared" si="21"/>
        <v>0</v>
      </c>
      <c r="T55" s="381">
        <f t="shared" si="21"/>
        <v>0</v>
      </c>
      <c r="U55" s="381">
        <f t="shared" si="21"/>
        <v>0</v>
      </c>
      <c r="V55" s="382">
        <f t="shared" si="21"/>
        <v>0</v>
      </c>
    </row>
    <row r="56" spans="1:22" ht="15">
      <c r="A56" s="206" t="s">
        <v>395</v>
      </c>
      <c r="B56" s="61">
        <f>0.36*(PPL+10)*B54*12</f>
        <v>41212.799999999996</v>
      </c>
      <c r="C56" s="61">
        <f aca="true" t="shared" si="22" ref="C56:V56">0.36*(PPL+10)*C54*12</f>
        <v>41731.2</v>
      </c>
      <c r="D56" s="61">
        <f t="shared" si="22"/>
        <v>42249.6</v>
      </c>
      <c r="E56" s="61">
        <f t="shared" si="22"/>
        <v>42508.799999999996</v>
      </c>
      <c r="F56" s="61">
        <f t="shared" si="22"/>
        <v>43027.2</v>
      </c>
      <c r="G56" s="61">
        <f t="shared" si="22"/>
        <v>43545.6</v>
      </c>
      <c r="H56" s="61">
        <f t="shared" si="22"/>
        <v>44063.99999999999</v>
      </c>
      <c r="I56" s="61">
        <f t="shared" si="22"/>
        <v>44582.399999999994</v>
      </c>
      <c r="J56" s="61">
        <f t="shared" si="22"/>
        <v>45100.799999999996</v>
      </c>
      <c r="K56" s="61">
        <f t="shared" si="22"/>
        <v>45619.2</v>
      </c>
      <c r="L56" s="61">
        <f t="shared" si="22"/>
        <v>46137.6</v>
      </c>
      <c r="M56" s="61">
        <f t="shared" si="22"/>
        <v>46655.99999999999</v>
      </c>
      <c r="N56" s="61">
        <f t="shared" si="22"/>
        <v>47174.399999999994</v>
      </c>
      <c r="O56" s="61">
        <f t="shared" si="22"/>
        <v>47692.799999999996</v>
      </c>
      <c r="P56" s="61">
        <f t="shared" si="22"/>
        <v>48470.399999999994</v>
      </c>
      <c r="Q56" s="61">
        <f t="shared" si="22"/>
        <v>48988.799999999996</v>
      </c>
      <c r="R56" s="61">
        <f t="shared" si="22"/>
        <v>49507.2</v>
      </c>
      <c r="S56" s="61">
        <f t="shared" si="22"/>
        <v>50025.59999999999</v>
      </c>
      <c r="T56" s="61">
        <f t="shared" si="22"/>
        <v>50803.2</v>
      </c>
      <c r="U56" s="61">
        <f t="shared" si="22"/>
        <v>51321.59999999999</v>
      </c>
      <c r="V56" s="148">
        <f t="shared" si="22"/>
        <v>51840</v>
      </c>
    </row>
    <row r="57" spans="1:22" ht="15">
      <c r="A57" s="206" t="s">
        <v>396</v>
      </c>
      <c r="B57" s="61">
        <f>0.12*(50+10)*B55*12*$B$74</f>
        <v>0</v>
      </c>
      <c r="C57" s="61">
        <f>0.12*(50+10)*C55*12*$B$74</f>
        <v>0</v>
      </c>
      <c r="D57" s="61">
        <f aca="true" t="shared" si="23" ref="D57:V57">0.12*(50+10)*D55*12*$B$74</f>
        <v>0</v>
      </c>
      <c r="E57" s="61">
        <f t="shared" si="23"/>
        <v>0</v>
      </c>
      <c r="F57" s="61">
        <f t="shared" si="23"/>
        <v>0</v>
      </c>
      <c r="G57" s="61">
        <f t="shared" si="23"/>
        <v>0</v>
      </c>
      <c r="H57" s="61">
        <f t="shared" si="23"/>
        <v>0</v>
      </c>
      <c r="I57" s="61">
        <f t="shared" si="23"/>
        <v>0</v>
      </c>
      <c r="J57" s="61">
        <f t="shared" si="23"/>
        <v>0</v>
      </c>
      <c r="K57" s="61">
        <f t="shared" si="23"/>
        <v>0</v>
      </c>
      <c r="L57" s="61">
        <f t="shared" si="23"/>
        <v>0</v>
      </c>
      <c r="M57" s="61">
        <f t="shared" si="23"/>
        <v>0</v>
      </c>
      <c r="N57" s="61">
        <f t="shared" si="23"/>
        <v>0</v>
      </c>
      <c r="O57" s="61">
        <f t="shared" si="23"/>
        <v>0</v>
      </c>
      <c r="P57" s="61">
        <f t="shared" si="23"/>
        <v>0</v>
      </c>
      <c r="Q57" s="61">
        <f t="shared" si="23"/>
        <v>0</v>
      </c>
      <c r="R57" s="61">
        <f t="shared" si="23"/>
        <v>0</v>
      </c>
      <c r="S57" s="61">
        <f t="shared" si="23"/>
        <v>0</v>
      </c>
      <c r="T57" s="61">
        <f t="shared" si="23"/>
        <v>0</v>
      </c>
      <c r="U57" s="61">
        <f t="shared" si="23"/>
        <v>0</v>
      </c>
      <c r="V57" s="148">
        <f t="shared" si="23"/>
        <v>0</v>
      </c>
    </row>
    <row r="58" spans="1:22" ht="15" customHeight="1">
      <c r="A58" s="207" t="s">
        <v>424</v>
      </c>
      <c r="B58" s="208">
        <f>IF(B54=0,0,B51+B56)</f>
        <v>206555.03999999998</v>
      </c>
      <c r="C58" s="208">
        <f aca="true" t="shared" si="24" ref="C58:V58">IF(C54=0,0,C51+C56)</f>
        <v>210062.61</v>
      </c>
      <c r="D58" s="208">
        <f t="shared" si="24"/>
        <v>213909.63285000002</v>
      </c>
      <c r="E58" s="208">
        <f t="shared" si="24"/>
        <v>217230.69120403563</v>
      </c>
      <c r="F58" s="208">
        <f t="shared" si="24"/>
        <v>221155.58738553157</v>
      </c>
      <c r="G58" s="208">
        <f t="shared" si="24"/>
        <v>224970.27146803073</v>
      </c>
      <c r="H58" s="208">
        <f t="shared" si="24"/>
        <v>228972.33735317737</v>
      </c>
      <c r="I58" s="208">
        <f t="shared" si="24"/>
        <v>233015.8478272486</v>
      </c>
      <c r="J58" s="208">
        <f t="shared" si="24"/>
        <v>237101.2223366877</v>
      </c>
      <c r="K58" s="208">
        <f t="shared" si="24"/>
        <v>241228.88424327393</v>
      </c>
      <c r="L58" s="208">
        <f t="shared" si="24"/>
        <v>245399.260858934</v>
      </c>
      <c r="M58" s="208">
        <f t="shared" si="24"/>
        <v>249612.78348085337</v>
      </c>
      <c r="N58" s="208">
        <f t="shared" si="24"/>
        <v>253869.8874268896</v>
      </c>
      <c r="O58" s="208">
        <f t="shared" si="24"/>
        <v>258171.01207129026</v>
      </c>
      <c r="P58" s="208">
        <f t="shared" si="24"/>
        <v>263247.16088071815</v>
      </c>
      <c r="Q58" s="208">
        <f t="shared" si="24"/>
        <v>267637.66145058646</v>
      </c>
      <c r="R58" s="208">
        <f t="shared" si="24"/>
        <v>272410.5509146388</v>
      </c>
      <c r="S58" s="208">
        <f t="shared" si="24"/>
        <v>276894.6947754027</v>
      </c>
      <c r="T58" s="208">
        <f t="shared" si="24"/>
        <v>282026.30018694175</v>
      </c>
      <c r="U58" s="208">
        <f t="shared" si="24"/>
        <v>286950.4605299471</v>
      </c>
      <c r="V58" s="209">
        <f t="shared" si="24"/>
        <v>291926.89940146974</v>
      </c>
    </row>
    <row r="59" spans="1:22" ht="15" customHeight="1">
      <c r="A59" s="274" t="s">
        <v>425</v>
      </c>
      <c r="B59" s="116">
        <f>IF(Entrada!$D$16="Sistema Convencional",0,B51+B57)</f>
        <v>165342.24</v>
      </c>
      <c r="C59" s="116">
        <f>IF(Entrada!$D$16="Sistema Convencional",0,C51+C57)</f>
        <v>168331.41</v>
      </c>
      <c r="D59" s="116">
        <f>IF(Entrada!$D$16="Sistema Convencional",0,D51+D57)</f>
        <v>171660.03285000002</v>
      </c>
      <c r="E59" s="116">
        <f>IF(Entrada!$D$16="Sistema Convencional",0,E51+E57)</f>
        <v>174721.89120403564</v>
      </c>
      <c r="F59" s="116">
        <f>IF(Entrada!$D$16="Sistema Convencional",0,F51+F57)</f>
        <v>178128.38738553156</v>
      </c>
      <c r="G59" s="116">
        <f>IF(Entrada!$D$16="Sistema Convencional",0,G51+G57)</f>
        <v>181424.67146803072</v>
      </c>
      <c r="H59" s="116">
        <f>IF(Entrada!$D$16="Sistema Convencional",0,H51+H57)</f>
        <v>184908.33735317737</v>
      </c>
      <c r="I59" s="116">
        <f>IF(Entrada!$D$16="Sistema Convencional",0,I51+I57)</f>
        <v>188433.4478272486</v>
      </c>
      <c r="J59" s="116">
        <f>IF(Entrada!$D$16="Sistema Convencional",0,J51+J57)</f>
        <v>192000.4223366877</v>
      </c>
      <c r="K59" s="116">
        <f>IF(Entrada!$D$16="Sistema Convencional",0,K51+K57)</f>
        <v>195609.68424327395</v>
      </c>
      <c r="L59" s="116">
        <f>IF(Entrada!$D$16="Sistema Convencional",0,L51+L57)</f>
        <v>199261.660858934</v>
      </c>
      <c r="M59" s="116">
        <f>IF(Entrada!$D$16="Sistema Convencional",0,M51+M57)</f>
        <v>202956.78348085337</v>
      </c>
      <c r="N59" s="116">
        <f>IF(Entrada!$D$16="Sistema Convencional",0,N51+N57)</f>
        <v>206695.4874268896</v>
      </c>
      <c r="O59" s="116">
        <f>IF(Entrada!$D$16="Sistema Convencional",0,O51+O57)</f>
        <v>210478.21207129027</v>
      </c>
      <c r="P59" s="116">
        <f>IF(Entrada!$D$16="Sistema Convencional",0,P51+P57)</f>
        <v>214776.76088071818</v>
      </c>
      <c r="Q59" s="116">
        <f>IF(Entrada!$D$16="Sistema Convencional",0,Q51+Q57)</f>
        <v>218648.86145058647</v>
      </c>
      <c r="R59" s="116">
        <f>IF(Entrada!$D$16="Sistema Convencional",0,R51+R57)</f>
        <v>222903.3509146388</v>
      </c>
      <c r="S59" s="116">
        <f>IF(Entrada!$D$16="Sistema Convencional",0,S51+S57)</f>
        <v>226869.09477540271</v>
      </c>
      <c r="T59" s="116">
        <f>IF(Entrada!$D$16="Sistema Convencional",0,T51+T57)</f>
        <v>231223.10018694174</v>
      </c>
      <c r="U59" s="116">
        <f>IF(Entrada!$D$16="Sistema Convencional",0,U51+U57)</f>
        <v>235628.86052994707</v>
      </c>
      <c r="V59" s="211">
        <f>IF(Entrada!$D$16="Sistema Convencional",0,V51+V57)</f>
        <v>240086.8994014697</v>
      </c>
    </row>
    <row r="60" spans="1:22" ht="15" customHeight="1">
      <c r="A60" s="207" t="s">
        <v>397</v>
      </c>
      <c r="B60" s="214">
        <f aca="true" t="shared" si="25" ref="B60:V60">_xlfn.IFERROR(B58/(FaC*8760),"")</f>
        <v>107.17882938978828</v>
      </c>
      <c r="C60" s="214">
        <f t="shared" si="25"/>
        <v>108.99886363636362</v>
      </c>
      <c r="D60" s="214">
        <f t="shared" si="25"/>
        <v>110.99503572540475</v>
      </c>
      <c r="E60" s="214">
        <f t="shared" si="25"/>
        <v>112.71829140931695</v>
      </c>
      <c r="F60" s="214">
        <f t="shared" si="25"/>
        <v>114.75487099705872</v>
      </c>
      <c r="G60" s="214">
        <f t="shared" si="25"/>
        <v>116.73426290371042</v>
      </c>
      <c r="H60" s="214">
        <f t="shared" si="25"/>
        <v>118.81088488645567</v>
      </c>
      <c r="I60" s="214">
        <f t="shared" si="25"/>
        <v>120.90901194855157</v>
      </c>
      <c r="J60" s="214">
        <f t="shared" si="25"/>
        <v>123.02886173551666</v>
      </c>
      <c r="K60" s="214">
        <f t="shared" si="25"/>
        <v>125.17065392448833</v>
      </c>
      <c r="L60" s="214">
        <f t="shared" si="25"/>
        <v>127.33461024228622</v>
      </c>
      <c r="M60" s="214">
        <f t="shared" si="25"/>
        <v>129.52095448363085</v>
      </c>
      <c r="N60" s="214">
        <f t="shared" si="25"/>
        <v>131.72991252951928</v>
      </c>
      <c r="O60" s="214">
        <f t="shared" si="25"/>
        <v>133.96171236575876</v>
      </c>
      <c r="P60" s="214">
        <f t="shared" si="25"/>
        <v>136.59566255745025</v>
      </c>
      <c r="Q60" s="214">
        <f t="shared" si="25"/>
        <v>138.87383844467956</v>
      </c>
      <c r="R60" s="214">
        <f t="shared" si="25"/>
        <v>141.35043115122394</v>
      </c>
      <c r="S60" s="214">
        <f t="shared" si="25"/>
        <v>143.67719737204374</v>
      </c>
      <c r="T60" s="214">
        <f t="shared" si="25"/>
        <v>146.33992330165097</v>
      </c>
      <c r="U60" s="214">
        <f t="shared" si="25"/>
        <v>148.895008577183</v>
      </c>
      <c r="V60" s="215">
        <f t="shared" si="25"/>
        <v>151.47722052795234</v>
      </c>
    </row>
    <row r="61" spans="1:22" ht="15" customHeight="1" thickBot="1">
      <c r="A61" s="210"/>
      <c r="B61" s="212"/>
      <c r="C61" s="212"/>
      <c r="D61" s="212"/>
      <c r="E61" s="212"/>
      <c r="F61" s="212"/>
      <c r="G61" s="212"/>
      <c r="H61" s="212"/>
      <c r="I61" s="212"/>
      <c r="J61" s="212"/>
      <c r="K61" s="212"/>
      <c r="L61" s="212"/>
      <c r="M61" s="212"/>
      <c r="N61" s="212"/>
      <c r="O61" s="212"/>
      <c r="P61" s="212"/>
      <c r="Q61" s="212"/>
      <c r="R61" s="212"/>
      <c r="S61" s="212"/>
      <c r="T61" s="212"/>
      <c r="U61" s="212"/>
      <c r="V61" s="213"/>
    </row>
    <row r="62" spans="1:22" ht="15" customHeight="1" hidden="1">
      <c r="A62" s="115"/>
      <c r="B62" s="116"/>
      <c r="C62" s="116"/>
      <c r="D62" s="116"/>
      <c r="E62" s="116"/>
      <c r="F62" s="116"/>
      <c r="G62" s="116"/>
      <c r="H62" s="116"/>
      <c r="I62" s="116"/>
      <c r="J62" s="116"/>
      <c r="K62" s="116"/>
      <c r="L62" s="116"/>
      <c r="M62" s="116"/>
      <c r="N62" s="116"/>
      <c r="O62" s="116"/>
      <c r="P62" s="116"/>
      <c r="Q62" s="116"/>
      <c r="R62" s="116"/>
      <c r="S62" s="116"/>
      <c r="T62" s="116"/>
      <c r="U62" s="116"/>
      <c r="V62" s="116"/>
    </row>
    <row r="63" spans="1:22" ht="15" customHeight="1" hidden="1">
      <c r="A63" s="216" t="s">
        <v>196</v>
      </c>
      <c r="B63" s="217">
        <f>B58/(1/$C$21-1)</f>
        <v>20428.520439560438</v>
      </c>
      <c r="C63" s="217">
        <f aca="true" t="shared" si="26" ref="C63:V63">C58/(1/$C$21-1)</f>
        <v>20775.422967032966</v>
      </c>
      <c r="D63" s="217">
        <f t="shared" si="26"/>
        <v>21155.897754395606</v>
      </c>
      <c r="E63" s="217">
        <f t="shared" si="26"/>
        <v>21484.354075124404</v>
      </c>
      <c r="F63" s="217">
        <f t="shared" si="26"/>
        <v>21872.53062054708</v>
      </c>
      <c r="G63" s="217">
        <f t="shared" si="26"/>
        <v>22249.807068266775</v>
      </c>
      <c r="H63" s="217">
        <f t="shared" si="26"/>
        <v>22645.615782182376</v>
      </c>
      <c r="I63" s="217">
        <f t="shared" si="26"/>
        <v>23045.523411486127</v>
      </c>
      <c r="J63" s="217">
        <f t="shared" si="26"/>
        <v>23449.571439892192</v>
      </c>
      <c r="K63" s="217">
        <f t="shared" si="26"/>
        <v>23857.801738345774</v>
      </c>
      <c r="L63" s="217">
        <f t="shared" si="26"/>
        <v>24270.256568466</v>
      </c>
      <c r="M63" s="217">
        <f t="shared" si="26"/>
        <v>24686.978586018467</v>
      </c>
      <c r="N63" s="217">
        <f t="shared" si="26"/>
        <v>25108.01084441765</v>
      </c>
      <c r="O63" s="217">
        <f t="shared" si="26"/>
        <v>25533.396798259477</v>
      </c>
      <c r="P63" s="217">
        <f t="shared" si="26"/>
        <v>26035.4334936974</v>
      </c>
      <c r="Q63" s="217">
        <f t="shared" si="26"/>
        <v>26469.658824783277</v>
      </c>
      <c r="R63" s="217">
        <f t="shared" si="26"/>
        <v>26941.70283771153</v>
      </c>
      <c r="S63" s="217">
        <f t="shared" si="26"/>
        <v>27385.189593171697</v>
      </c>
      <c r="T63" s="217">
        <f t="shared" si="26"/>
        <v>27892.711007499736</v>
      </c>
      <c r="U63" s="217">
        <f t="shared" si="26"/>
        <v>28379.715876588172</v>
      </c>
      <c r="V63" s="217">
        <f t="shared" si="26"/>
        <v>28871.89114959591</v>
      </c>
    </row>
    <row r="64" spans="1:22" ht="15" customHeight="1" hidden="1">
      <c r="A64" s="218" t="s">
        <v>197</v>
      </c>
      <c r="B64" s="219">
        <f>+B58+B63</f>
        <v>226983.56043956042</v>
      </c>
      <c r="C64" s="219">
        <f aca="true" t="shared" si="27" ref="C64:V64">+C58+C63</f>
        <v>230838.03296703295</v>
      </c>
      <c r="D64" s="219">
        <f t="shared" si="27"/>
        <v>235065.53060439564</v>
      </c>
      <c r="E64" s="219">
        <f t="shared" si="27"/>
        <v>238715.04527916003</v>
      </c>
      <c r="F64" s="219">
        <f t="shared" si="27"/>
        <v>243028.11800607864</v>
      </c>
      <c r="G64" s="219">
        <f t="shared" si="27"/>
        <v>247220.0785362975</v>
      </c>
      <c r="H64" s="219">
        <f t="shared" si="27"/>
        <v>251617.95313535974</v>
      </c>
      <c r="I64" s="219">
        <f t="shared" si="27"/>
        <v>256061.37123873472</v>
      </c>
      <c r="J64" s="219">
        <f t="shared" si="27"/>
        <v>260550.7937765799</v>
      </c>
      <c r="K64" s="219">
        <f t="shared" si="27"/>
        <v>265086.6859816197</v>
      </c>
      <c r="L64" s="219">
        <f t="shared" si="27"/>
        <v>269669.5174274</v>
      </c>
      <c r="M64" s="219">
        <f t="shared" si="27"/>
        <v>274299.76206687186</v>
      </c>
      <c r="N64" s="219">
        <f t="shared" si="27"/>
        <v>278977.89827130723</v>
      </c>
      <c r="O64" s="219">
        <f t="shared" si="27"/>
        <v>283704.40886954975</v>
      </c>
      <c r="P64" s="219">
        <f t="shared" si="27"/>
        <v>289282.5943744155</v>
      </c>
      <c r="Q64" s="219">
        <f t="shared" si="27"/>
        <v>294107.32027536974</v>
      </c>
      <c r="R64" s="219">
        <f t="shared" si="27"/>
        <v>299352.25375235034</v>
      </c>
      <c r="S64" s="219">
        <f t="shared" si="27"/>
        <v>304279.8843685744</v>
      </c>
      <c r="T64" s="219">
        <f t="shared" si="27"/>
        <v>309919.01119444147</v>
      </c>
      <c r="U64" s="219">
        <f t="shared" si="27"/>
        <v>315330.17640653526</v>
      </c>
      <c r="V64" s="219">
        <f t="shared" si="27"/>
        <v>320798.79055106564</v>
      </c>
    </row>
    <row r="65" spans="1:22" ht="15" customHeight="1" hidden="1">
      <c r="A65" s="220" t="s">
        <v>106</v>
      </c>
      <c r="B65" s="221">
        <f aca="true" t="shared" si="28" ref="B65:V65">FaC</f>
        <v>0.22</v>
      </c>
      <c r="C65" s="221">
        <f t="shared" si="28"/>
        <v>0.22</v>
      </c>
      <c r="D65" s="221">
        <f t="shared" si="28"/>
        <v>0.22</v>
      </c>
      <c r="E65" s="221">
        <f t="shared" si="28"/>
        <v>0.22</v>
      </c>
      <c r="F65" s="221">
        <f t="shared" si="28"/>
        <v>0.22</v>
      </c>
      <c r="G65" s="221">
        <f t="shared" si="28"/>
        <v>0.22</v>
      </c>
      <c r="H65" s="221">
        <f t="shared" si="28"/>
        <v>0.22</v>
      </c>
      <c r="I65" s="221">
        <f t="shared" si="28"/>
        <v>0.22</v>
      </c>
      <c r="J65" s="221">
        <f t="shared" si="28"/>
        <v>0.22</v>
      </c>
      <c r="K65" s="221">
        <f t="shared" si="28"/>
        <v>0.22</v>
      </c>
      <c r="L65" s="221">
        <f t="shared" si="28"/>
        <v>0.22</v>
      </c>
      <c r="M65" s="221">
        <f t="shared" si="28"/>
        <v>0.22</v>
      </c>
      <c r="N65" s="221">
        <f t="shared" si="28"/>
        <v>0.22</v>
      </c>
      <c r="O65" s="221">
        <f t="shared" si="28"/>
        <v>0.22</v>
      </c>
      <c r="P65" s="221">
        <f t="shared" si="28"/>
        <v>0.22</v>
      </c>
      <c r="Q65" s="221">
        <f t="shared" si="28"/>
        <v>0.22</v>
      </c>
      <c r="R65" s="221">
        <f t="shared" si="28"/>
        <v>0.22</v>
      </c>
      <c r="S65" s="221">
        <f t="shared" si="28"/>
        <v>0.22</v>
      </c>
      <c r="T65" s="221">
        <f t="shared" si="28"/>
        <v>0.22</v>
      </c>
      <c r="U65" s="221">
        <f t="shared" si="28"/>
        <v>0.22</v>
      </c>
      <c r="V65" s="221">
        <f t="shared" si="28"/>
        <v>0.22</v>
      </c>
    </row>
    <row r="66" spans="1:22" ht="15" customHeight="1" hidden="1">
      <c r="A66" s="218" t="s">
        <v>105</v>
      </c>
      <c r="B66" s="222">
        <f>+B64/(FaC*8760)</f>
        <v>117.77893339537174</v>
      </c>
      <c r="C66" s="222">
        <f aca="true" t="shared" si="29" ref="C66:V66">+C64/(FaC*8760)</f>
        <v>119.77897102897101</v>
      </c>
      <c r="D66" s="222">
        <f t="shared" si="29"/>
        <v>121.972566731214</v>
      </c>
      <c r="E66" s="222">
        <f t="shared" si="29"/>
        <v>123.86625429595269</v>
      </c>
      <c r="F66" s="222">
        <f t="shared" si="29"/>
        <v>126.10425384292166</v>
      </c>
      <c r="G66" s="222">
        <f t="shared" si="29"/>
        <v>128.27940978429714</v>
      </c>
      <c r="H66" s="222">
        <f t="shared" si="29"/>
        <v>130.56141196313808</v>
      </c>
      <c r="I66" s="222">
        <f t="shared" si="29"/>
        <v>132.8670460973094</v>
      </c>
      <c r="J66" s="222">
        <f t="shared" si="29"/>
        <v>135.1965513577106</v>
      </c>
      <c r="K66" s="222">
        <f t="shared" si="29"/>
        <v>137.55016914778938</v>
      </c>
      <c r="L66" s="222">
        <f t="shared" si="29"/>
        <v>139.92814312339144</v>
      </c>
      <c r="M66" s="222">
        <f t="shared" si="29"/>
        <v>142.33071921278116</v>
      </c>
      <c r="N66" s="222">
        <f t="shared" si="29"/>
        <v>144.75814563683437</v>
      </c>
      <c r="O66" s="222">
        <f t="shared" si="29"/>
        <v>147.21067292940523</v>
      </c>
      <c r="P66" s="222">
        <f t="shared" si="29"/>
        <v>150.10512368950577</v>
      </c>
      <c r="Q66" s="222">
        <f t="shared" si="29"/>
        <v>152.60861367547204</v>
      </c>
      <c r="R66" s="222">
        <f t="shared" si="29"/>
        <v>155.3301441222241</v>
      </c>
      <c r="S66" s="222">
        <f t="shared" si="29"/>
        <v>157.88703007916897</v>
      </c>
      <c r="T66" s="222">
        <f t="shared" si="29"/>
        <v>160.81310252928677</v>
      </c>
      <c r="U66" s="222">
        <f t="shared" si="29"/>
        <v>163.62088854635493</v>
      </c>
      <c r="V66" s="222">
        <f t="shared" si="29"/>
        <v>166.45848409665092</v>
      </c>
    </row>
    <row r="67" spans="2:22" ht="15" hidden="1">
      <c r="B67" s="65"/>
      <c r="E67" s="9"/>
      <c r="F67" s="9"/>
      <c r="G67" s="9"/>
      <c r="H67" s="9"/>
      <c r="I67" s="9"/>
      <c r="J67" s="9"/>
      <c r="K67" s="9"/>
      <c r="L67" s="9"/>
      <c r="M67" s="9"/>
      <c r="N67" s="9"/>
      <c r="O67" s="9"/>
      <c r="P67" s="9"/>
      <c r="Q67" s="9"/>
      <c r="R67" s="9"/>
      <c r="S67" s="9"/>
      <c r="T67" s="9"/>
      <c r="U67" s="9"/>
      <c r="V67" s="9"/>
    </row>
    <row r="68" spans="1:22" ht="15" hidden="1">
      <c r="A68" s="12" t="s">
        <v>98</v>
      </c>
      <c r="B68" s="223"/>
      <c r="C68" s="223"/>
      <c r="D68" s="223"/>
      <c r="E68" s="223"/>
      <c r="F68" s="223"/>
      <c r="G68" s="223"/>
      <c r="H68" s="223"/>
      <c r="I68" s="223"/>
      <c r="J68" s="223"/>
      <c r="K68" s="223"/>
      <c r="L68" s="223"/>
      <c r="M68" s="223"/>
      <c r="N68" s="223"/>
      <c r="O68" s="223"/>
      <c r="P68" s="223"/>
      <c r="Q68" s="223"/>
      <c r="R68" s="223"/>
      <c r="S68" s="223"/>
      <c r="T68" s="223"/>
      <c r="U68" s="223"/>
      <c r="V68" s="223"/>
    </row>
    <row r="69" spans="1:22" ht="15" hidden="1">
      <c r="A69" s="12"/>
      <c r="B69" s="67"/>
      <c r="C69" s="67"/>
      <c r="D69" s="67"/>
      <c r="E69" s="67"/>
      <c r="F69" s="67"/>
      <c r="G69" s="67"/>
      <c r="H69" s="67"/>
      <c r="I69" s="67"/>
      <c r="J69" s="67"/>
      <c r="K69" s="67"/>
      <c r="L69" s="67"/>
      <c r="M69" s="67"/>
      <c r="N69" s="67"/>
      <c r="O69" s="67"/>
      <c r="P69" s="67"/>
      <c r="Q69" s="67"/>
      <c r="R69" s="67"/>
      <c r="S69" s="67"/>
      <c r="T69" s="67"/>
      <c r="U69" s="67"/>
      <c r="V69" s="67"/>
    </row>
    <row r="70" spans="1:2" ht="15" hidden="1">
      <c r="A70" s="99" t="s">
        <v>195</v>
      </c>
      <c r="B70" s="69">
        <f>_xlfn.IFERROR((V51/B51)^(1/20)-1,0)</f>
        <v>0.018824153416455713</v>
      </c>
    </row>
    <row r="71" spans="1:4" ht="15" hidden="1">
      <c r="A71" s="68" t="s">
        <v>107</v>
      </c>
      <c r="B71" s="69">
        <f>(V36/B36)^(1/20)-1</f>
        <v>0.011625550603047818</v>
      </c>
      <c r="D71" s="70"/>
    </row>
    <row r="72" spans="1:22" ht="15" hidden="1">
      <c r="A72" s="68" t="s">
        <v>100</v>
      </c>
      <c r="B72" s="205">
        <f>IF(B74=0,0,B55)</f>
        <v>0</v>
      </c>
      <c r="C72" s="9"/>
      <c r="D72" s="9"/>
      <c r="E72" s="9"/>
      <c r="F72" s="9"/>
      <c r="G72" s="9"/>
      <c r="H72" s="9"/>
      <c r="I72" s="9"/>
      <c r="J72" s="9"/>
      <c r="K72" s="9"/>
      <c r="L72" s="9"/>
      <c r="M72" s="9"/>
      <c r="N72" s="9"/>
      <c r="O72" s="9"/>
      <c r="P72" s="9"/>
      <c r="Q72" s="9"/>
      <c r="R72" s="9"/>
      <c r="S72" s="9"/>
      <c r="T72" s="9"/>
      <c r="U72" s="9"/>
      <c r="V72" s="9"/>
    </row>
    <row r="73" spans="1:22" ht="15" hidden="1">
      <c r="A73" s="68" t="s">
        <v>101</v>
      </c>
      <c r="B73" s="71">
        <f>+B36</f>
        <v>546</v>
      </c>
      <c r="C73" s="9"/>
      <c r="D73" s="9"/>
      <c r="E73" s="9"/>
      <c r="F73" s="9"/>
      <c r="G73" s="9"/>
      <c r="H73" s="9"/>
      <c r="I73" s="9"/>
      <c r="J73" s="9"/>
      <c r="K73" s="9"/>
      <c r="L73" s="9"/>
      <c r="M73" s="9"/>
      <c r="N73" s="9"/>
      <c r="O73" s="9"/>
      <c r="P73" s="9"/>
      <c r="Q73" s="9"/>
      <c r="R73" s="9"/>
      <c r="S73" s="9"/>
      <c r="T73" s="9"/>
      <c r="U73" s="9"/>
      <c r="V73" s="9"/>
    </row>
    <row r="74" spans="1:22" ht="15" hidden="1">
      <c r="A74" s="99" t="s">
        <v>293</v>
      </c>
      <c r="B74" s="71">
        <f>IF(Entrada!J23="NO",0,1)</f>
        <v>0</v>
      </c>
      <c r="C74" s="9"/>
      <c r="D74" s="9"/>
      <c r="E74" s="9"/>
      <c r="F74" s="9"/>
      <c r="G74" s="9"/>
      <c r="H74" s="9"/>
      <c r="I74" s="9"/>
      <c r="J74" s="9"/>
      <c r="K74" s="9"/>
      <c r="L74" s="9"/>
      <c r="M74" s="9"/>
      <c r="N74" s="9"/>
      <c r="O74" s="9"/>
      <c r="P74" s="9"/>
      <c r="Q74" s="9"/>
      <c r="R74" s="9"/>
      <c r="S74" s="9"/>
      <c r="T74" s="9"/>
      <c r="U74" s="9"/>
      <c r="V74" s="9"/>
    </row>
    <row r="75" spans="3:22" ht="15" hidden="1">
      <c r="C75" s="9"/>
      <c r="D75" s="9"/>
      <c r="E75" s="9"/>
      <c r="F75" s="9"/>
      <c r="G75" s="9"/>
      <c r="H75" s="9"/>
      <c r="I75" s="9"/>
      <c r="J75" s="9"/>
      <c r="K75" s="9"/>
      <c r="L75" s="9"/>
      <c r="M75" s="9"/>
      <c r="N75" s="9"/>
      <c r="O75" s="9"/>
      <c r="P75" s="9"/>
      <c r="Q75" s="9"/>
      <c r="R75" s="9"/>
      <c r="S75" s="9"/>
      <c r="T75" s="9"/>
      <c r="U75" s="9"/>
      <c r="V75" s="9"/>
    </row>
    <row r="76" spans="3:22" ht="15">
      <c r="C76" s="9"/>
      <c r="D76" s="9"/>
      <c r="E76" s="9"/>
      <c r="F76" s="9"/>
      <c r="G76" s="9"/>
      <c r="H76" s="9"/>
      <c r="I76" s="9"/>
      <c r="J76" s="9"/>
      <c r="K76" s="9"/>
      <c r="L76" s="9"/>
      <c r="M76" s="9"/>
      <c r="N76" s="9"/>
      <c r="O76" s="9"/>
      <c r="P76" s="9"/>
      <c r="Q76" s="9"/>
      <c r="R76" s="9"/>
      <c r="S76" s="9"/>
      <c r="T76" s="9"/>
      <c r="U76" s="9"/>
      <c r="V76" s="9"/>
    </row>
    <row r="77" spans="3:22" ht="15">
      <c r="C77" s="9"/>
      <c r="D77" s="9"/>
      <c r="E77" s="9"/>
      <c r="F77" s="9"/>
      <c r="G77" s="9"/>
      <c r="H77" s="9"/>
      <c r="I77" s="9"/>
      <c r="J77" s="9"/>
      <c r="K77" s="9"/>
      <c r="L77" s="9"/>
      <c r="M77" s="9"/>
      <c r="N77" s="9"/>
      <c r="O77" s="9"/>
      <c r="P77" s="9"/>
      <c r="Q77" s="9"/>
      <c r="R77" s="9"/>
      <c r="S77" s="9"/>
      <c r="T77" s="9"/>
      <c r="U77" s="9"/>
      <c r="V77" s="9"/>
    </row>
    <row r="78" spans="3:22" ht="15">
      <c r="C78" s="9"/>
      <c r="D78" s="9"/>
      <c r="E78" s="9"/>
      <c r="F78" s="9"/>
      <c r="G78" s="9"/>
      <c r="H78" s="9"/>
      <c r="I78" s="9"/>
      <c r="J78" s="9"/>
      <c r="K78" s="9"/>
      <c r="L78" s="9"/>
      <c r="M78" s="9"/>
      <c r="N78" s="9"/>
      <c r="O78" s="9"/>
      <c r="P78" s="9"/>
      <c r="Q78" s="9"/>
      <c r="R78" s="9"/>
      <c r="S78" s="9"/>
      <c r="T78" s="9"/>
      <c r="U78" s="9"/>
      <c r="V78" s="9"/>
    </row>
    <row r="79" spans="3:22" ht="15">
      <c r="C79" s="9"/>
      <c r="D79" s="9"/>
      <c r="E79" s="9"/>
      <c r="F79" s="9"/>
      <c r="G79" s="9"/>
      <c r="H79" s="9"/>
      <c r="I79" s="9"/>
      <c r="J79" s="9"/>
      <c r="K79" s="9"/>
      <c r="L79" s="9"/>
      <c r="M79" s="9"/>
      <c r="N79" s="9"/>
      <c r="O79" s="9"/>
      <c r="P79" s="9"/>
      <c r="Q79" s="9"/>
      <c r="R79" s="9"/>
      <c r="S79" s="9"/>
      <c r="T79" s="9"/>
      <c r="U79" s="9"/>
      <c r="V79" s="9"/>
    </row>
    <row r="80" spans="3:22" ht="15">
      <c r="C80" s="9"/>
      <c r="D80" s="9"/>
      <c r="E80" s="9"/>
      <c r="F80" s="9"/>
      <c r="G80" s="9"/>
      <c r="H80" s="9"/>
      <c r="I80" s="9"/>
      <c r="J80" s="9"/>
      <c r="K80" s="9"/>
      <c r="L80" s="9"/>
      <c r="M80" s="9"/>
      <c r="N80" s="9"/>
      <c r="O80" s="9"/>
      <c r="P80" s="9"/>
      <c r="Q80" s="9"/>
      <c r="R80" s="9"/>
      <c r="S80" s="9"/>
      <c r="T80" s="9"/>
      <c r="U80" s="9"/>
      <c r="V80" s="9"/>
    </row>
    <row r="81" spans="3:22" ht="15">
      <c r="C81" s="9"/>
      <c r="D81" s="9"/>
      <c r="E81" s="9"/>
      <c r="F81" s="9"/>
      <c r="G81" s="9"/>
      <c r="H81" s="9"/>
      <c r="I81" s="9"/>
      <c r="J81" s="9"/>
      <c r="K81" s="9"/>
      <c r="L81" s="9"/>
      <c r="M81" s="9"/>
      <c r="N81" s="9"/>
      <c r="O81" s="9"/>
      <c r="P81" s="9"/>
      <c r="Q81" s="9"/>
      <c r="R81" s="9"/>
      <c r="S81" s="9"/>
      <c r="T81" s="9"/>
      <c r="U81" s="9"/>
      <c r="V81" s="9"/>
    </row>
    <row r="82" spans="3:22" ht="15">
      <c r="C82" s="9"/>
      <c r="D82" s="9"/>
      <c r="E82" s="9"/>
      <c r="F82" s="9"/>
      <c r="G82" s="9"/>
      <c r="H82" s="9"/>
      <c r="I82" s="9"/>
      <c r="J82" s="9"/>
      <c r="K82" s="9"/>
      <c r="L82" s="9"/>
      <c r="M82" s="9"/>
      <c r="N82" s="9"/>
      <c r="O82" s="9"/>
      <c r="P82" s="9"/>
      <c r="Q82" s="9"/>
      <c r="R82" s="9"/>
      <c r="S82" s="9"/>
      <c r="T82" s="9"/>
      <c r="U82" s="9"/>
      <c r="V82" s="9"/>
    </row>
    <row r="83" spans="3:22" ht="15">
      <c r="C83" s="9"/>
      <c r="D83" s="9"/>
      <c r="E83" s="9"/>
      <c r="F83" s="9"/>
      <c r="G83" s="9"/>
      <c r="H83" s="9"/>
      <c r="I83" s="9"/>
      <c r="J83" s="9"/>
      <c r="K83" s="9"/>
      <c r="L83" s="9"/>
      <c r="M83" s="9"/>
      <c r="N83" s="9"/>
      <c r="O83" s="9"/>
      <c r="P83" s="9"/>
      <c r="Q83" s="9"/>
      <c r="R83" s="9"/>
      <c r="S83" s="9"/>
      <c r="T83" s="9"/>
      <c r="U83" s="9"/>
      <c r="V83" s="9"/>
    </row>
    <row r="84" spans="3:22" ht="15">
      <c r="C84" s="9"/>
      <c r="D84" s="9"/>
      <c r="E84" s="9"/>
      <c r="F84" s="9"/>
      <c r="G84" s="9"/>
      <c r="H84" s="9"/>
      <c r="I84" s="9"/>
      <c r="J84" s="9"/>
      <c r="K84" s="9"/>
      <c r="L84" s="9"/>
      <c r="M84" s="9"/>
      <c r="N84" s="9"/>
      <c r="O84" s="9"/>
      <c r="P84" s="9"/>
      <c r="Q84" s="9"/>
      <c r="R84" s="9"/>
      <c r="S84" s="9"/>
      <c r="T84" s="9"/>
      <c r="U84" s="9"/>
      <c r="V84" s="9"/>
    </row>
    <row r="85" spans="3:22" ht="15">
      <c r="C85" s="9"/>
      <c r="D85" s="9"/>
      <c r="E85" s="9"/>
      <c r="F85" s="9"/>
      <c r="G85" s="9"/>
      <c r="H85" s="9"/>
      <c r="I85" s="9"/>
      <c r="J85" s="9"/>
      <c r="K85" s="9"/>
      <c r="L85" s="9"/>
      <c r="M85" s="9"/>
      <c r="N85" s="9"/>
      <c r="O85" s="9"/>
      <c r="P85" s="9"/>
      <c r="Q85" s="9"/>
      <c r="R85" s="9"/>
      <c r="S85" s="9"/>
      <c r="T85" s="9"/>
      <c r="U85" s="9"/>
      <c r="V85" s="9"/>
    </row>
  </sheetData>
  <sheetProtection password="FFA0" sheet="1" objects="1"/>
  <mergeCells count="4">
    <mergeCell ref="A2:V2"/>
    <mergeCell ref="A3:V3"/>
    <mergeCell ref="A30:V30"/>
    <mergeCell ref="A31:A32"/>
  </mergeCells>
  <dataValidations count="1">
    <dataValidation type="decimal" allowBlank="1" showInputMessage="1" showErrorMessage="1" sqref="C9">
      <formula1>3</formula1>
      <formula2>6</formula2>
    </dataValidation>
  </dataValidations>
  <printOptions horizontalCentered="1" verticalCentered="1"/>
  <pageMargins left="0.2755905511811024" right="0.2362204724409449" top="0.61" bottom="0.35" header="0.31496062992125984" footer="0.31496062992125984"/>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sheetPr codeName="Hoja5">
    <pageSetUpPr fitToPage="1"/>
  </sheetPr>
  <dimension ref="A1:W44"/>
  <sheetViews>
    <sheetView showGridLines="0" showZeros="0" zoomScaleSheetLayoutView="100" zoomScalePageLayoutView="0" workbookViewId="0" topLeftCell="A1">
      <pane ySplit="3" topLeftCell="A10" activePane="bottomLeft" state="frozen"/>
      <selection pane="topLeft" activeCell="K132" sqref="K132"/>
      <selection pane="bottomLeft" activeCell="C34" sqref="C34"/>
    </sheetView>
  </sheetViews>
  <sheetFormatPr defaultColWidth="11.421875" defaultRowHeight="15"/>
  <cols>
    <col min="1" max="1" width="38.421875" style="234" customWidth="1"/>
    <col min="2" max="2" width="11.00390625" style="234" customWidth="1"/>
    <col min="3" max="3" width="10.00390625" style="234" customWidth="1"/>
    <col min="4" max="22" width="8.421875" style="234" customWidth="1"/>
    <col min="23" max="16384" width="11.421875" style="234" customWidth="1"/>
  </cols>
  <sheetData>
    <row r="1" spans="1:23" ht="27.75" customHeight="1" thickBot="1">
      <c r="A1" s="227"/>
      <c r="B1" s="227"/>
      <c r="C1" s="227"/>
      <c r="D1" s="227"/>
      <c r="E1" s="227"/>
      <c r="F1" s="227"/>
      <c r="G1" s="227"/>
      <c r="H1" s="227"/>
      <c r="I1" s="227"/>
      <c r="J1" s="227"/>
      <c r="K1" s="227"/>
      <c r="L1" s="227"/>
      <c r="M1" s="227"/>
      <c r="N1" s="227"/>
      <c r="O1" s="227"/>
      <c r="P1" s="227"/>
      <c r="Q1" s="227"/>
      <c r="R1" s="227"/>
      <c r="S1" s="227"/>
      <c r="T1" s="227"/>
      <c r="U1" s="227"/>
      <c r="V1" s="227"/>
      <c r="W1" s="227"/>
    </row>
    <row r="2" spans="1:23" ht="15.75">
      <c r="A2" s="846" t="s">
        <v>116</v>
      </c>
      <c r="B2" s="847"/>
      <c r="C2" s="847"/>
      <c r="D2" s="847"/>
      <c r="E2" s="847"/>
      <c r="F2" s="847"/>
      <c r="G2" s="847"/>
      <c r="H2" s="847"/>
      <c r="I2" s="847"/>
      <c r="J2" s="847"/>
      <c r="K2" s="847"/>
      <c r="L2" s="847"/>
      <c r="M2" s="847"/>
      <c r="N2" s="847"/>
      <c r="O2" s="847"/>
      <c r="P2" s="847"/>
      <c r="Q2" s="847"/>
      <c r="R2" s="847"/>
      <c r="S2" s="847"/>
      <c r="T2" s="847"/>
      <c r="U2" s="847"/>
      <c r="V2" s="848"/>
      <c r="W2" s="227"/>
    </row>
    <row r="3" spans="1:23" ht="15.75">
      <c r="A3" s="849" t="s">
        <v>335</v>
      </c>
      <c r="B3" s="850"/>
      <c r="C3" s="850"/>
      <c r="D3" s="850"/>
      <c r="E3" s="850"/>
      <c r="F3" s="850"/>
      <c r="G3" s="850"/>
      <c r="H3" s="850"/>
      <c r="I3" s="850"/>
      <c r="J3" s="850"/>
      <c r="K3" s="850"/>
      <c r="L3" s="850"/>
      <c r="M3" s="850"/>
      <c r="N3" s="850"/>
      <c r="O3" s="850"/>
      <c r="P3" s="850"/>
      <c r="Q3" s="850"/>
      <c r="R3" s="850"/>
      <c r="S3" s="850"/>
      <c r="T3" s="850"/>
      <c r="U3" s="850"/>
      <c r="V3" s="851"/>
      <c r="W3" s="227"/>
    </row>
    <row r="4" spans="1:23" ht="15">
      <c r="A4" s="325"/>
      <c r="B4" s="326"/>
      <c r="C4" s="326"/>
      <c r="D4" s="326"/>
      <c r="E4" s="326"/>
      <c r="F4" s="326"/>
      <c r="G4" s="326"/>
      <c r="H4" s="326"/>
      <c r="I4" s="326"/>
      <c r="J4" s="326"/>
      <c r="K4" s="326"/>
      <c r="L4" s="326"/>
      <c r="M4" s="326"/>
      <c r="N4" s="326"/>
      <c r="O4" s="326"/>
      <c r="P4" s="326"/>
      <c r="Q4" s="326"/>
      <c r="R4" s="326"/>
      <c r="S4" s="326"/>
      <c r="T4" s="326"/>
      <c r="U4" s="326"/>
      <c r="V4" s="610"/>
      <c r="W4" s="227"/>
    </row>
    <row r="5" spans="1:23" ht="15">
      <c r="A5" s="637" t="s">
        <v>121</v>
      </c>
      <c r="B5" s="329"/>
      <c r="C5" s="329"/>
      <c r="D5" s="329"/>
      <c r="E5" s="329"/>
      <c r="F5" s="329"/>
      <c r="G5" s="329"/>
      <c r="H5" s="329"/>
      <c r="I5" s="329"/>
      <c r="J5" s="329"/>
      <c r="K5" s="329"/>
      <c r="L5" s="329"/>
      <c r="M5" s="329"/>
      <c r="N5" s="329"/>
      <c r="O5" s="329"/>
      <c r="P5" s="329"/>
      <c r="Q5" s="329"/>
      <c r="R5" s="329"/>
      <c r="S5" s="329"/>
      <c r="T5" s="329"/>
      <c r="U5" s="329"/>
      <c r="V5" s="291"/>
      <c r="W5" s="227"/>
    </row>
    <row r="6" spans="1:23" ht="15">
      <c r="A6" s="325"/>
      <c r="B6" s="326"/>
      <c r="C6" s="326"/>
      <c r="D6" s="326"/>
      <c r="E6" s="326"/>
      <c r="F6" s="326"/>
      <c r="G6" s="326"/>
      <c r="H6" s="326"/>
      <c r="I6" s="326"/>
      <c r="J6" s="326"/>
      <c r="K6" s="326"/>
      <c r="L6" s="326"/>
      <c r="M6" s="326"/>
      <c r="N6" s="326"/>
      <c r="O6" s="326"/>
      <c r="P6" s="326"/>
      <c r="Q6" s="326"/>
      <c r="R6" s="326"/>
      <c r="S6" s="326"/>
      <c r="T6" s="326"/>
      <c r="U6" s="326"/>
      <c r="V6" s="291"/>
      <c r="W6" s="227"/>
    </row>
    <row r="7" spans="1:23" ht="15">
      <c r="A7" s="862" t="s">
        <v>114</v>
      </c>
      <c r="B7" s="863"/>
      <c r="C7" s="863"/>
      <c r="D7" s="863"/>
      <c r="E7" s="863"/>
      <c r="F7" s="863"/>
      <c r="G7" s="863"/>
      <c r="H7" s="863"/>
      <c r="I7" s="863"/>
      <c r="J7" s="863"/>
      <c r="K7" s="863"/>
      <c r="L7" s="863"/>
      <c r="M7" s="863"/>
      <c r="N7" s="863"/>
      <c r="O7" s="863"/>
      <c r="P7" s="863"/>
      <c r="Q7" s="863"/>
      <c r="R7" s="863"/>
      <c r="S7" s="863"/>
      <c r="T7" s="863"/>
      <c r="U7" s="863"/>
      <c r="V7" s="291"/>
      <c r="W7" s="227"/>
    </row>
    <row r="8" spans="1:23" ht="15">
      <c r="A8" s="187"/>
      <c r="B8" s="170"/>
      <c r="C8" s="170"/>
      <c r="D8" s="170"/>
      <c r="E8" s="170"/>
      <c r="F8" s="170"/>
      <c r="G8" s="170"/>
      <c r="H8" s="170"/>
      <c r="I8" s="170"/>
      <c r="J8" s="170"/>
      <c r="K8" s="170"/>
      <c r="L8" s="170"/>
      <c r="M8" s="170"/>
      <c r="N8" s="170"/>
      <c r="O8" s="170"/>
      <c r="P8" s="170"/>
      <c r="Q8" s="170"/>
      <c r="R8" s="170"/>
      <c r="S8" s="170"/>
      <c r="T8" s="170"/>
      <c r="U8" s="170"/>
      <c r="V8" s="291"/>
      <c r="W8" s="227"/>
    </row>
    <row r="9" spans="1:23" ht="15">
      <c r="A9" s="637" t="s">
        <v>201</v>
      </c>
      <c r="B9" s="394"/>
      <c r="C9" s="329"/>
      <c r="D9" s="329"/>
      <c r="E9" s="329"/>
      <c r="F9" s="329"/>
      <c r="G9" s="329"/>
      <c r="H9" s="329"/>
      <c r="I9" s="329"/>
      <c r="J9" s="329"/>
      <c r="K9" s="329"/>
      <c r="L9" s="329"/>
      <c r="M9" s="329"/>
      <c r="N9" s="329"/>
      <c r="O9" s="329"/>
      <c r="P9" s="329"/>
      <c r="Q9" s="329"/>
      <c r="R9" s="329"/>
      <c r="S9" s="329"/>
      <c r="T9" s="329"/>
      <c r="U9" s="329"/>
      <c r="V9" s="638"/>
      <c r="W9" s="639"/>
    </row>
    <row r="10" spans="1:23" ht="15">
      <c r="A10" s="328"/>
      <c r="B10" s="394"/>
      <c r="C10" s="329"/>
      <c r="D10" s="329"/>
      <c r="E10" s="329"/>
      <c r="F10" s="329"/>
      <c r="G10" s="329"/>
      <c r="H10" s="329"/>
      <c r="I10" s="329"/>
      <c r="J10" s="329"/>
      <c r="K10" s="329"/>
      <c r="L10" s="329"/>
      <c r="M10" s="329"/>
      <c r="N10" s="329"/>
      <c r="O10" s="329"/>
      <c r="P10" s="329"/>
      <c r="Q10" s="329"/>
      <c r="R10" s="329"/>
      <c r="S10" s="329"/>
      <c r="T10" s="329"/>
      <c r="U10" s="329"/>
      <c r="V10" s="638"/>
      <c r="W10" s="639"/>
    </row>
    <row r="11" spans="1:23" ht="15">
      <c r="A11" s="637" t="s">
        <v>203</v>
      </c>
      <c r="B11" s="394"/>
      <c r="C11" s="329"/>
      <c r="D11" s="329"/>
      <c r="E11" s="329"/>
      <c r="F11" s="329"/>
      <c r="G11" s="329"/>
      <c r="H11" s="329"/>
      <c r="I11" s="329"/>
      <c r="J11" s="329"/>
      <c r="K11" s="329"/>
      <c r="L11" s="329"/>
      <c r="M11" s="329"/>
      <c r="N11" s="329"/>
      <c r="O11" s="329"/>
      <c r="P11" s="329"/>
      <c r="Q11" s="329"/>
      <c r="R11" s="329"/>
      <c r="S11" s="329"/>
      <c r="T11" s="329"/>
      <c r="U11" s="329"/>
      <c r="V11" s="638"/>
      <c r="W11" s="639"/>
    </row>
    <row r="12" spans="1:23" ht="15">
      <c r="A12" s="325"/>
      <c r="B12" s="326"/>
      <c r="C12" s="326"/>
      <c r="D12" s="326"/>
      <c r="E12" s="326"/>
      <c r="F12" s="326"/>
      <c r="G12" s="326"/>
      <c r="H12" s="326"/>
      <c r="I12" s="326"/>
      <c r="J12" s="326"/>
      <c r="K12" s="326"/>
      <c r="L12" s="326"/>
      <c r="M12" s="326"/>
      <c r="N12" s="326"/>
      <c r="O12" s="326"/>
      <c r="P12" s="326"/>
      <c r="Q12" s="326"/>
      <c r="R12" s="326"/>
      <c r="S12" s="326"/>
      <c r="T12" s="326"/>
      <c r="U12" s="326"/>
      <c r="V12" s="610"/>
      <c r="W12" s="227"/>
    </row>
    <row r="13" spans="1:23" ht="15">
      <c r="A13" s="859" t="s">
        <v>92</v>
      </c>
      <c r="B13" s="860"/>
      <c r="C13" s="860"/>
      <c r="D13" s="860"/>
      <c r="E13" s="860"/>
      <c r="F13" s="860"/>
      <c r="G13" s="860"/>
      <c r="H13" s="860"/>
      <c r="I13" s="860"/>
      <c r="J13" s="860"/>
      <c r="K13" s="860"/>
      <c r="L13" s="860"/>
      <c r="M13" s="860"/>
      <c r="N13" s="860"/>
      <c r="O13" s="860"/>
      <c r="P13" s="860"/>
      <c r="Q13" s="860"/>
      <c r="R13" s="860"/>
      <c r="S13" s="860"/>
      <c r="T13" s="860"/>
      <c r="U13" s="860"/>
      <c r="V13" s="861"/>
      <c r="W13" s="640"/>
    </row>
    <row r="14" spans="1:23" ht="15">
      <c r="A14" s="857" t="s">
        <v>117</v>
      </c>
      <c r="B14" s="8">
        <v>0</v>
      </c>
      <c r="C14" s="8">
        <v>1</v>
      </c>
      <c r="D14" s="8">
        <v>2</v>
      </c>
      <c r="E14" s="8">
        <v>3</v>
      </c>
      <c r="F14" s="8">
        <v>4</v>
      </c>
      <c r="G14" s="8">
        <v>5</v>
      </c>
      <c r="H14" s="8">
        <v>6</v>
      </c>
      <c r="I14" s="8">
        <v>7</v>
      </c>
      <c r="J14" s="8">
        <v>8</v>
      </c>
      <c r="K14" s="8">
        <v>9</v>
      </c>
      <c r="L14" s="8">
        <v>10</v>
      </c>
      <c r="M14" s="8">
        <v>11</v>
      </c>
      <c r="N14" s="8">
        <v>12</v>
      </c>
      <c r="O14" s="8">
        <v>13</v>
      </c>
      <c r="P14" s="8">
        <v>14</v>
      </c>
      <c r="Q14" s="8">
        <v>15</v>
      </c>
      <c r="R14" s="8">
        <v>16</v>
      </c>
      <c r="S14" s="8">
        <v>17</v>
      </c>
      <c r="T14" s="8">
        <v>18</v>
      </c>
      <c r="U14" s="8">
        <v>19</v>
      </c>
      <c r="V14" s="114">
        <v>20</v>
      </c>
      <c r="W14" s="640"/>
    </row>
    <row r="15" spans="1:23" ht="15">
      <c r="A15" s="858"/>
      <c r="B15" s="8">
        <f>'F2'!C8</f>
        <v>2011</v>
      </c>
      <c r="C15" s="8">
        <f>+B15+1</f>
        <v>2012</v>
      </c>
      <c r="D15" s="8">
        <f aca="true" t="shared" si="0" ref="D15:V15">+C15+1</f>
        <v>2013</v>
      </c>
      <c r="E15" s="8">
        <f t="shared" si="0"/>
        <v>2014</v>
      </c>
      <c r="F15" s="8">
        <f t="shared" si="0"/>
        <v>2015</v>
      </c>
      <c r="G15" s="8">
        <f t="shared" si="0"/>
        <v>2016</v>
      </c>
      <c r="H15" s="8">
        <f t="shared" si="0"/>
        <v>2017</v>
      </c>
      <c r="I15" s="8">
        <f t="shared" si="0"/>
        <v>2018</v>
      </c>
      <c r="J15" s="8">
        <f t="shared" si="0"/>
        <v>2019</v>
      </c>
      <c r="K15" s="8">
        <f t="shared" si="0"/>
        <v>2020</v>
      </c>
      <c r="L15" s="8">
        <f t="shared" si="0"/>
        <v>2021</v>
      </c>
      <c r="M15" s="8">
        <f t="shared" si="0"/>
        <v>2022</v>
      </c>
      <c r="N15" s="8">
        <f t="shared" si="0"/>
        <v>2023</v>
      </c>
      <c r="O15" s="8">
        <f t="shared" si="0"/>
        <v>2024</v>
      </c>
      <c r="P15" s="8">
        <f t="shared" si="0"/>
        <v>2025</v>
      </c>
      <c r="Q15" s="8">
        <f t="shared" si="0"/>
        <v>2026</v>
      </c>
      <c r="R15" s="8">
        <f t="shared" si="0"/>
        <v>2027</v>
      </c>
      <c r="S15" s="8">
        <f t="shared" si="0"/>
        <v>2028</v>
      </c>
      <c r="T15" s="8">
        <f t="shared" si="0"/>
        <v>2029</v>
      </c>
      <c r="U15" s="8">
        <f t="shared" si="0"/>
        <v>2030</v>
      </c>
      <c r="V15" s="114">
        <f t="shared" si="0"/>
        <v>2031</v>
      </c>
      <c r="W15" s="227"/>
    </row>
    <row r="16" spans="1:23" ht="15">
      <c r="A16" s="641"/>
      <c r="B16" s="457"/>
      <c r="C16" s="457"/>
      <c r="D16" s="457"/>
      <c r="E16" s="457"/>
      <c r="F16" s="457"/>
      <c r="G16" s="457"/>
      <c r="H16" s="457"/>
      <c r="I16" s="457"/>
      <c r="J16" s="457"/>
      <c r="K16" s="457"/>
      <c r="L16" s="457"/>
      <c r="M16" s="457"/>
      <c r="N16" s="457"/>
      <c r="O16" s="457"/>
      <c r="P16" s="457"/>
      <c r="Q16" s="457"/>
      <c r="R16" s="457"/>
      <c r="S16" s="457"/>
      <c r="T16" s="457"/>
      <c r="U16" s="457"/>
      <c r="V16" s="642"/>
      <c r="W16" s="227"/>
    </row>
    <row r="17" spans="1:23" ht="15">
      <c r="A17" s="643" t="s">
        <v>118</v>
      </c>
      <c r="B17" s="644">
        <v>0</v>
      </c>
      <c r="C17" s="644">
        <v>0</v>
      </c>
      <c r="D17" s="644">
        <v>0</v>
      </c>
      <c r="E17" s="644">
        <v>0</v>
      </c>
      <c r="F17" s="644">
        <v>0</v>
      </c>
      <c r="G17" s="644">
        <v>0</v>
      </c>
      <c r="H17" s="644">
        <v>0</v>
      </c>
      <c r="I17" s="644">
        <v>0</v>
      </c>
      <c r="J17" s="644">
        <v>0</v>
      </c>
      <c r="K17" s="644">
        <v>0</v>
      </c>
      <c r="L17" s="644">
        <v>0</v>
      </c>
      <c r="M17" s="644">
        <v>0</v>
      </c>
      <c r="N17" s="644">
        <v>0</v>
      </c>
      <c r="O17" s="644">
        <v>0</v>
      </c>
      <c r="P17" s="644">
        <v>0</v>
      </c>
      <c r="Q17" s="644">
        <v>0</v>
      </c>
      <c r="R17" s="644">
        <v>0</v>
      </c>
      <c r="S17" s="644">
        <v>0</v>
      </c>
      <c r="T17" s="644">
        <v>0</v>
      </c>
      <c r="U17" s="644">
        <v>0</v>
      </c>
      <c r="V17" s="645">
        <v>0</v>
      </c>
      <c r="W17" s="646"/>
    </row>
    <row r="18" spans="1:23" ht="15">
      <c r="A18" s="647"/>
      <c r="B18" s="459"/>
      <c r="C18" s="459"/>
      <c r="D18" s="459"/>
      <c r="E18" s="459"/>
      <c r="F18" s="459"/>
      <c r="G18" s="459"/>
      <c r="H18" s="459"/>
      <c r="I18" s="459"/>
      <c r="J18" s="459"/>
      <c r="K18" s="459"/>
      <c r="L18" s="459"/>
      <c r="M18" s="459"/>
      <c r="N18" s="459"/>
      <c r="O18" s="459"/>
      <c r="P18" s="459"/>
      <c r="Q18" s="459"/>
      <c r="R18" s="459"/>
      <c r="S18" s="459"/>
      <c r="T18" s="459"/>
      <c r="U18" s="459"/>
      <c r="V18" s="648"/>
      <c r="W18" s="227"/>
    </row>
    <row r="19" spans="1:23" ht="15">
      <c r="A19" s="353" t="s">
        <v>123</v>
      </c>
      <c r="B19" s="233">
        <f>SUM(B17:B18)</f>
        <v>0</v>
      </c>
      <c r="C19" s="233">
        <f aca="true" t="shared" si="1" ref="C19:V19">SUM(C17:C18)</f>
        <v>0</v>
      </c>
      <c r="D19" s="233">
        <f t="shared" si="1"/>
        <v>0</v>
      </c>
      <c r="E19" s="233">
        <f t="shared" si="1"/>
        <v>0</v>
      </c>
      <c r="F19" s="233">
        <f t="shared" si="1"/>
        <v>0</v>
      </c>
      <c r="G19" s="233">
        <f t="shared" si="1"/>
        <v>0</v>
      </c>
      <c r="H19" s="233">
        <f t="shared" si="1"/>
        <v>0</v>
      </c>
      <c r="I19" s="233">
        <f t="shared" si="1"/>
        <v>0</v>
      </c>
      <c r="J19" s="233">
        <f t="shared" si="1"/>
        <v>0</v>
      </c>
      <c r="K19" s="233">
        <f t="shared" si="1"/>
        <v>0</v>
      </c>
      <c r="L19" s="233">
        <f t="shared" si="1"/>
        <v>0</v>
      </c>
      <c r="M19" s="233">
        <f t="shared" si="1"/>
        <v>0</v>
      </c>
      <c r="N19" s="233">
        <f t="shared" si="1"/>
        <v>0</v>
      </c>
      <c r="O19" s="233">
        <f t="shared" si="1"/>
        <v>0</v>
      </c>
      <c r="P19" s="233">
        <f t="shared" si="1"/>
        <v>0</v>
      </c>
      <c r="Q19" s="233">
        <f t="shared" si="1"/>
        <v>0</v>
      </c>
      <c r="R19" s="233">
        <f t="shared" si="1"/>
        <v>0</v>
      </c>
      <c r="S19" s="233">
        <f t="shared" si="1"/>
        <v>0</v>
      </c>
      <c r="T19" s="233">
        <f t="shared" si="1"/>
        <v>0</v>
      </c>
      <c r="U19" s="233">
        <f t="shared" si="1"/>
        <v>0</v>
      </c>
      <c r="V19" s="649">
        <f t="shared" si="1"/>
        <v>0</v>
      </c>
      <c r="W19" s="227"/>
    </row>
    <row r="20" spans="1:23" ht="15">
      <c r="A20" s="187"/>
      <c r="B20" s="170"/>
      <c r="C20" s="170"/>
      <c r="D20" s="170"/>
      <c r="E20" s="170"/>
      <c r="F20" s="170"/>
      <c r="G20" s="170"/>
      <c r="H20" s="170"/>
      <c r="I20" s="170"/>
      <c r="J20" s="170"/>
      <c r="K20" s="170"/>
      <c r="L20" s="170"/>
      <c r="M20" s="170"/>
      <c r="N20" s="170"/>
      <c r="O20" s="170"/>
      <c r="P20" s="170"/>
      <c r="Q20" s="170"/>
      <c r="R20" s="170"/>
      <c r="S20" s="170"/>
      <c r="T20" s="170"/>
      <c r="U20" s="170"/>
      <c r="V20" s="291"/>
      <c r="W20" s="227"/>
    </row>
    <row r="21" spans="1:23" ht="15">
      <c r="A21" s="637" t="s">
        <v>202</v>
      </c>
      <c r="B21" s="170"/>
      <c r="C21" s="329"/>
      <c r="D21" s="329"/>
      <c r="E21" s="329"/>
      <c r="F21" s="329"/>
      <c r="G21" s="329"/>
      <c r="H21" s="329"/>
      <c r="I21" s="326"/>
      <c r="J21" s="326"/>
      <c r="K21" s="326"/>
      <c r="L21" s="326"/>
      <c r="M21" s="326"/>
      <c r="N21" s="326"/>
      <c r="O21" s="326"/>
      <c r="P21" s="326"/>
      <c r="Q21" s="326"/>
      <c r="R21" s="326"/>
      <c r="S21" s="326"/>
      <c r="T21" s="326"/>
      <c r="U21" s="326"/>
      <c r="V21" s="610"/>
      <c r="W21" s="227"/>
    </row>
    <row r="22" spans="1:23" ht="15">
      <c r="A22" s="328"/>
      <c r="B22" s="170"/>
      <c r="C22" s="329"/>
      <c r="D22" s="329"/>
      <c r="E22" s="329"/>
      <c r="F22" s="329"/>
      <c r="G22" s="329"/>
      <c r="H22" s="329"/>
      <c r="I22" s="326"/>
      <c r="J22" s="326"/>
      <c r="K22" s="326"/>
      <c r="L22" s="326"/>
      <c r="M22" s="326"/>
      <c r="N22" s="326"/>
      <c r="O22" s="326"/>
      <c r="P22" s="326"/>
      <c r="Q22" s="326"/>
      <c r="R22" s="326"/>
      <c r="S22" s="326"/>
      <c r="T22" s="326"/>
      <c r="U22" s="326"/>
      <c r="V22" s="610"/>
      <c r="W22" s="227"/>
    </row>
    <row r="23" spans="1:23" ht="15">
      <c r="A23" s="859" t="s">
        <v>92</v>
      </c>
      <c r="B23" s="860"/>
      <c r="C23" s="860"/>
      <c r="D23" s="860"/>
      <c r="E23" s="860"/>
      <c r="F23" s="860"/>
      <c r="G23" s="860"/>
      <c r="H23" s="860"/>
      <c r="I23" s="860"/>
      <c r="J23" s="860"/>
      <c r="K23" s="860"/>
      <c r="L23" s="860"/>
      <c r="M23" s="860"/>
      <c r="N23" s="860"/>
      <c r="O23" s="860"/>
      <c r="P23" s="860"/>
      <c r="Q23" s="860"/>
      <c r="R23" s="860"/>
      <c r="S23" s="860"/>
      <c r="T23" s="860"/>
      <c r="U23" s="860"/>
      <c r="V23" s="861"/>
      <c r="W23" s="227"/>
    </row>
    <row r="24" spans="1:23" ht="15">
      <c r="A24" s="857" t="s">
        <v>117</v>
      </c>
      <c r="B24" s="8">
        <v>0</v>
      </c>
      <c r="C24" s="8">
        <v>1</v>
      </c>
      <c r="D24" s="8">
        <v>2</v>
      </c>
      <c r="E24" s="8">
        <v>3</v>
      </c>
      <c r="F24" s="8">
        <v>4</v>
      </c>
      <c r="G24" s="8">
        <v>5</v>
      </c>
      <c r="H24" s="8">
        <v>6</v>
      </c>
      <c r="I24" s="8">
        <v>7</v>
      </c>
      <c r="J24" s="8">
        <v>8</v>
      </c>
      <c r="K24" s="8">
        <v>9</v>
      </c>
      <c r="L24" s="8">
        <v>10</v>
      </c>
      <c r="M24" s="8">
        <v>11</v>
      </c>
      <c r="N24" s="8">
        <v>12</v>
      </c>
      <c r="O24" s="8">
        <v>13</v>
      </c>
      <c r="P24" s="8">
        <v>14</v>
      </c>
      <c r="Q24" s="8">
        <v>15</v>
      </c>
      <c r="R24" s="8">
        <v>16</v>
      </c>
      <c r="S24" s="8">
        <v>17</v>
      </c>
      <c r="T24" s="8">
        <v>18</v>
      </c>
      <c r="U24" s="8">
        <v>19</v>
      </c>
      <c r="V24" s="114">
        <v>20</v>
      </c>
      <c r="W24" s="227"/>
    </row>
    <row r="25" spans="1:23" ht="15">
      <c r="A25" s="858"/>
      <c r="B25" s="8">
        <f>'F2'!C8</f>
        <v>2011</v>
      </c>
      <c r="C25" s="8">
        <f aca="true" t="shared" si="2" ref="C25:V25">+B25+1</f>
        <v>2012</v>
      </c>
      <c r="D25" s="8">
        <f t="shared" si="2"/>
        <v>2013</v>
      </c>
      <c r="E25" s="8">
        <f t="shared" si="2"/>
        <v>2014</v>
      </c>
      <c r="F25" s="8">
        <f t="shared" si="2"/>
        <v>2015</v>
      </c>
      <c r="G25" s="8">
        <f t="shared" si="2"/>
        <v>2016</v>
      </c>
      <c r="H25" s="8">
        <f t="shared" si="2"/>
        <v>2017</v>
      </c>
      <c r="I25" s="8">
        <f t="shared" si="2"/>
        <v>2018</v>
      </c>
      <c r="J25" s="8">
        <f t="shared" si="2"/>
        <v>2019</v>
      </c>
      <c r="K25" s="8">
        <f t="shared" si="2"/>
        <v>2020</v>
      </c>
      <c r="L25" s="8">
        <f t="shared" si="2"/>
        <v>2021</v>
      </c>
      <c r="M25" s="8">
        <f t="shared" si="2"/>
        <v>2022</v>
      </c>
      <c r="N25" s="8">
        <f t="shared" si="2"/>
        <v>2023</v>
      </c>
      <c r="O25" s="8">
        <f t="shared" si="2"/>
        <v>2024</v>
      </c>
      <c r="P25" s="8">
        <f t="shared" si="2"/>
        <v>2025</v>
      </c>
      <c r="Q25" s="8">
        <f t="shared" si="2"/>
        <v>2026</v>
      </c>
      <c r="R25" s="8">
        <f t="shared" si="2"/>
        <v>2027</v>
      </c>
      <c r="S25" s="8">
        <f t="shared" si="2"/>
        <v>2028</v>
      </c>
      <c r="T25" s="8">
        <f t="shared" si="2"/>
        <v>2029</v>
      </c>
      <c r="U25" s="8">
        <f t="shared" si="2"/>
        <v>2030</v>
      </c>
      <c r="V25" s="114">
        <f t="shared" si="2"/>
        <v>2031</v>
      </c>
      <c r="W25" s="227"/>
    </row>
    <row r="26" spans="1:23" ht="15" customHeight="1">
      <c r="A26" s="154" t="s">
        <v>104</v>
      </c>
      <c r="B26" s="236">
        <f>IF(Entrada!$D$16="Sistema Fotovoltaico",0,'F2'!B58)</f>
        <v>206555.03999999998</v>
      </c>
      <c r="C26" s="236">
        <f>IF(Entrada!$D$16="Sistema Fotovoltaico",0,'F2'!C58)</f>
        <v>210062.61</v>
      </c>
      <c r="D26" s="236">
        <f>IF(Entrada!$D$16="Sistema Fotovoltaico",0,'F2'!D58)</f>
        <v>213909.63285000002</v>
      </c>
      <c r="E26" s="236">
        <f>IF(Entrada!$D$16="Sistema Fotovoltaico",0,'F2'!E58)</f>
        <v>217230.69120403563</v>
      </c>
      <c r="F26" s="236">
        <f>IF(Entrada!$D$16="Sistema Fotovoltaico",0,'F2'!F58)</f>
        <v>221155.58738553157</v>
      </c>
      <c r="G26" s="236">
        <f>IF(Entrada!$D$16="Sistema Fotovoltaico",0,'F2'!G58)</f>
        <v>224970.27146803073</v>
      </c>
      <c r="H26" s="236">
        <f>IF(Entrada!$D$16="Sistema Fotovoltaico",0,'F2'!H58)</f>
        <v>228972.33735317737</v>
      </c>
      <c r="I26" s="236">
        <f>IF(Entrada!$D$16="Sistema Fotovoltaico",0,'F2'!I58)</f>
        <v>233015.8478272486</v>
      </c>
      <c r="J26" s="236">
        <f>IF(Entrada!$D$16="Sistema Fotovoltaico",0,'F2'!J58)</f>
        <v>237101.2223366877</v>
      </c>
      <c r="K26" s="236">
        <f>IF(Entrada!$D$16="Sistema Fotovoltaico",0,'F2'!K58)</f>
        <v>241228.88424327393</v>
      </c>
      <c r="L26" s="236">
        <f>IF(Entrada!$D$16="Sistema Fotovoltaico",0,'F2'!L58)</f>
        <v>245399.260858934</v>
      </c>
      <c r="M26" s="236">
        <f>IF(Entrada!$D$16="Sistema Fotovoltaico",0,'F2'!M58)</f>
        <v>249612.78348085337</v>
      </c>
      <c r="N26" s="236">
        <f>IF(Entrada!$D$16="Sistema Fotovoltaico",0,'F2'!N58)</f>
        <v>253869.8874268896</v>
      </c>
      <c r="O26" s="236">
        <f>IF(Entrada!$D$16="Sistema Fotovoltaico",0,'F2'!O58)</f>
        <v>258171.01207129026</v>
      </c>
      <c r="P26" s="236">
        <f>IF(Entrada!$D$16="Sistema Fotovoltaico",0,'F2'!P58)</f>
        <v>263247.16088071815</v>
      </c>
      <c r="Q26" s="236">
        <f>IF(Entrada!$D$16="Sistema Fotovoltaico",0,'F2'!Q58)</f>
        <v>267637.66145058646</v>
      </c>
      <c r="R26" s="236">
        <f>IF(Entrada!$D$16="Sistema Fotovoltaico",0,'F2'!R58)</f>
        <v>272410.5509146388</v>
      </c>
      <c r="S26" s="236">
        <f>IF(Entrada!$D$16="Sistema Fotovoltaico",0,'F2'!S58)</f>
        <v>276894.6947754027</v>
      </c>
      <c r="T26" s="236">
        <f>IF(Entrada!$D$16="Sistema Fotovoltaico",0,'F2'!T58)</f>
        <v>282026.30018694175</v>
      </c>
      <c r="U26" s="236">
        <f>IF(Entrada!$D$16="Sistema Fotovoltaico",0,'F2'!U58)</f>
        <v>286950.4605299471</v>
      </c>
      <c r="V26" s="237">
        <f>IF(Entrada!$D$16="Sistema Fotovoltaico",0,'F2'!V58)</f>
        <v>291926.89940146974</v>
      </c>
      <c r="W26" s="63"/>
    </row>
    <row r="27" spans="1:23" ht="15" customHeight="1">
      <c r="A27" s="268" t="s">
        <v>398</v>
      </c>
      <c r="B27" s="236">
        <f aca="true" t="shared" si="3" ref="B27:V27">Per*B26/(1-Per)</f>
        <v>20428.520439560434</v>
      </c>
      <c r="C27" s="236">
        <f t="shared" si="3"/>
        <v>20775.422967032962</v>
      </c>
      <c r="D27" s="236">
        <f t="shared" si="3"/>
        <v>21155.897754395606</v>
      </c>
      <c r="E27" s="236">
        <f t="shared" si="3"/>
        <v>21484.3540751244</v>
      </c>
      <c r="F27" s="236">
        <f t="shared" si="3"/>
        <v>21872.53062054708</v>
      </c>
      <c r="G27" s="236">
        <f t="shared" si="3"/>
        <v>22249.807068266775</v>
      </c>
      <c r="H27" s="236">
        <f t="shared" si="3"/>
        <v>22645.615782182376</v>
      </c>
      <c r="I27" s="236">
        <f t="shared" si="3"/>
        <v>23045.523411486123</v>
      </c>
      <c r="J27" s="236">
        <f t="shared" si="3"/>
        <v>23449.57143989219</v>
      </c>
      <c r="K27" s="236">
        <f t="shared" si="3"/>
        <v>23857.801738345774</v>
      </c>
      <c r="L27" s="236">
        <f t="shared" si="3"/>
        <v>24270.256568465997</v>
      </c>
      <c r="M27" s="236">
        <f t="shared" si="3"/>
        <v>24686.978586018464</v>
      </c>
      <c r="N27" s="236">
        <f t="shared" si="3"/>
        <v>25108.01084441765</v>
      </c>
      <c r="O27" s="236">
        <f t="shared" si="3"/>
        <v>25533.396798259473</v>
      </c>
      <c r="P27" s="236">
        <f t="shared" si="3"/>
        <v>26035.433493697397</v>
      </c>
      <c r="Q27" s="236">
        <f t="shared" si="3"/>
        <v>26469.658824783273</v>
      </c>
      <c r="R27" s="236">
        <f t="shared" si="3"/>
        <v>26941.702837711528</v>
      </c>
      <c r="S27" s="236">
        <f t="shared" si="3"/>
        <v>27385.189593171697</v>
      </c>
      <c r="T27" s="236">
        <f t="shared" si="3"/>
        <v>27892.71100749973</v>
      </c>
      <c r="U27" s="236">
        <f t="shared" si="3"/>
        <v>28379.71587658817</v>
      </c>
      <c r="V27" s="237">
        <f t="shared" si="3"/>
        <v>28871.891149595907</v>
      </c>
      <c r="W27" s="63"/>
    </row>
    <row r="28" spans="1:23" ht="15" customHeight="1">
      <c r="A28" s="154" t="s">
        <v>197</v>
      </c>
      <c r="B28" s="236">
        <f>B26+B27</f>
        <v>226983.56043956042</v>
      </c>
      <c r="C28" s="236">
        <f aca="true" t="shared" si="4" ref="C28:V28">C26+C27</f>
        <v>230838.03296703295</v>
      </c>
      <c r="D28" s="236">
        <f t="shared" si="4"/>
        <v>235065.53060439564</v>
      </c>
      <c r="E28" s="236">
        <f t="shared" si="4"/>
        <v>238715.04527916003</v>
      </c>
      <c r="F28" s="236">
        <f t="shared" si="4"/>
        <v>243028.11800607864</v>
      </c>
      <c r="G28" s="236">
        <f t="shared" si="4"/>
        <v>247220.0785362975</v>
      </c>
      <c r="H28" s="236">
        <f t="shared" si="4"/>
        <v>251617.95313535974</v>
      </c>
      <c r="I28" s="236">
        <f t="shared" si="4"/>
        <v>256061.37123873472</v>
      </c>
      <c r="J28" s="236">
        <f t="shared" si="4"/>
        <v>260550.7937765799</v>
      </c>
      <c r="K28" s="236">
        <f t="shared" si="4"/>
        <v>265086.6859816197</v>
      </c>
      <c r="L28" s="236">
        <f t="shared" si="4"/>
        <v>269669.5174274</v>
      </c>
      <c r="M28" s="236">
        <f t="shared" si="4"/>
        <v>274299.76206687186</v>
      </c>
      <c r="N28" s="236">
        <f t="shared" si="4"/>
        <v>278977.89827130723</v>
      </c>
      <c r="O28" s="236">
        <f t="shared" si="4"/>
        <v>283704.40886954975</v>
      </c>
      <c r="P28" s="236">
        <f t="shared" si="4"/>
        <v>289282.5943744155</v>
      </c>
      <c r="Q28" s="236">
        <f t="shared" si="4"/>
        <v>294107.32027536974</v>
      </c>
      <c r="R28" s="236">
        <f t="shared" si="4"/>
        <v>299352.25375235034</v>
      </c>
      <c r="S28" s="236">
        <f t="shared" si="4"/>
        <v>304279.8843685744</v>
      </c>
      <c r="T28" s="236">
        <f t="shared" si="4"/>
        <v>309919.01119444147</v>
      </c>
      <c r="U28" s="236">
        <f t="shared" si="4"/>
        <v>315330.17640653526</v>
      </c>
      <c r="V28" s="237">
        <f t="shared" si="4"/>
        <v>320798.79055106564</v>
      </c>
      <c r="W28" s="100"/>
    </row>
    <row r="29" spans="1:23" ht="15" customHeight="1">
      <c r="A29" s="155" t="s">
        <v>106</v>
      </c>
      <c r="B29" s="238">
        <f aca="true" t="shared" si="5" ref="B29:V29">FaC</f>
        <v>0.22</v>
      </c>
      <c r="C29" s="238">
        <f t="shared" si="5"/>
        <v>0.22</v>
      </c>
      <c r="D29" s="238">
        <f t="shared" si="5"/>
        <v>0.22</v>
      </c>
      <c r="E29" s="238">
        <f t="shared" si="5"/>
        <v>0.22</v>
      </c>
      <c r="F29" s="238">
        <f t="shared" si="5"/>
        <v>0.22</v>
      </c>
      <c r="G29" s="238">
        <f t="shared" si="5"/>
        <v>0.22</v>
      </c>
      <c r="H29" s="238">
        <f t="shared" si="5"/>
        <v>0.22</v>
      </c>
      <c r="I29" s="238">
        <f t="shared" si="5"/>
        <v>0.22</v>
      </c>
      <c r="J29" s="238">
        <f t="shared" si="5"/>
        <v>0.22</v>
      </c>
      <c r="K29" s="238">
        <f t="shared" si="5"/>
        <v>0.22</v>
      </c>
      <c r="L29" s="238">
        <f t="shared" si="5"/>
        <v>0.22</v>
      </c>
      <c r="M29" s="238">
        <f t="shared" si="5"/>
        <v>0.22</v>
      </c>
      <c r="N29" s="238">
        <f t="shared" si="5"/>
        <v>0.22</v>
      </c>
      <c r="O29" s="238">
        <f t="shared" si="5"/>
        <v>0.22</v>
      </c>
      <c r="P29" s="238">
        <f t="shared" si="5"/>
        <v>0.22</v>
      </c>
      <c r="Q29" s="238">
        <f t="shared" si="5"/>
        <v>0.22</v>
      </c>
      <c r="R29" s="238">
        <f t="shared" si="5"/>
        <v>0.22</v>
      </c>
      <c r="S29" s="238">
        <f t="shared" si="5"/>
        <v>0.22</v>
      </c>
      <c r="T29" s="238">
        <f t="shared" si="5"/>
        <v>0.22</v>
      </c>
      <c r="U29" s="238">
        <f t="shared" si="5"/>
        <v>0.22</v>
      </c>
      <c r="V29" s="239">
        <f t="shared" si="5"/>
        <v>0.22</v>
      </c>
      <c r="W29" s="63"/>
    </row>
    <row r="30" spans="1:23" ht="15" customHeight="1">
      <c r="A30" s="152" t="s">
        <v>105</v>
      </c>
      <c r="B30" s="266">
        <f aca="true" t="shared" si="6" ref="B30:V30">_xlfn.IFERROR(B28/(B29*8760),"")</f>
        <v>117.77893339537174</v>
      </c>
      <c r="C30" s="266">
        <f t="shared" si="6"/>
        <v>119.77897102897101</v>
      </c>
      <c r="D30" s="266">
        <f t="shared" si="6"/>
        <v>121.972566731214</v>
      </c>
      <c r="E30" s="266">
        <f t="shared" si="6"/>
        <v>123.86625429595269</v>
      </c>
      <c r="F30" s="266">
        <f t="shared" si="6"/>
        <v>126.10425384292166</v>
      </c>
      <c r="G30" s="266">
        <f t="shared" si="6"/>
        <v>128.27940978429714</v>
      </c>
      <c r="H30" s="266">
        <f t="shared" si="6"/>
        <v>130.56141196313808</v>
      </c>
      <c r="I30" s="266">
        <f t="shared" si="6"/>
        <v>132.8670460973094</v>
      </c>
      <c r="J30" s="266">
        <f t="shared" si="6"/>
        <v>135.1965513577106</v>
      </c>
      <c r="K30" s="266">
        <f t="shared" si="6"/>
        <v>137.55016914778938</v>
      </c>
      <c r="L30" s="266">
        <f t="shared" si="6"/>
        <v>139.92814312339144</v>
      </c>
      <c r="M30" s="266">
        <f t="shared" si="6"/>
        <v>142.33071921278116</v>
      </c>
      <c r="N30" s="266">
        <f t="shared" si="6"/>
        <v>144.75814563683437</v>
      </c>
      <c r="O30" s="266">
        <f t="shared" si="6"/>
        <v>147.21067292940523</v>
      </c>
      <c r="P30" s="266">
        <f t="shared" si="6"/>
        <v>150.10512368950577</v>
      </c>
      <c r="Q30" s="266">
        <f t="shared" si="6"/>
        <v>152.60861367547204</v>
      </c>
      <c r="R30" s="266">
        <f t="shared" si="6"/>
        <v>155.3301441222241</v>
      </c>
      <c r="S30" s="266">
        <f t="shared" si="6"/>
        <v>157.88703007916897</v>
      </c>
      <c r="T30" s="266">
        <f t="shared" si="6"/>
        <v>160.81310252928677</v>
      </c>
      <c r="U30" s="266">
        <f t="shared" si="6"/>
        <v>163.62088854635493</v>
      </c>
      <c r="V30" s="267">
        <f t="shared" si="6"/>
        <v>166.45848409665092</v>
      </c>
      <c r="W30" s="63"/>
    </row>
    <row r="31" spans="1:23" ht="15">
      <c r="A31" s="328"/>
      <c r="B31" s="170"/>
      <c r="C31" s="329"/>
      <c r="D31" s="329"/>
      <c r="E31" s="329"/>
      <c r="F31" s="329"/>
      <c r="G31" s="329"/>
      <c r="H31" s="329"/>
      <c r="I31" s="326"/>
      <c r="J31" s="326"/>
      <c r="K31" s="326"/>
      <c r="L31" s="326"/>
      <c r="M31" s="326"/>
      <c r="N31" s="326"/>
      <c r="O31" s="326"/>
      <c r="P31" s="326"/>
      <c r="Q31" s="326"/>
      <c r="R31" s="326"/>
      <c r="S31" s="326"/>
      <c r="T31" s="326"/>
      <c r="U31" s="326"/>
      <c r="V31" s="610"/>
      <c r="W31" s="227"/>
    </row>
    <row r="32" spans="1:23" ht="17.25">
      <c r="A32" s="152" t="s">
        <v>198</v>
      </c>
      <c r="B32" s="101">
        <f>Entrada!D121</f>
        <v>268</v>
      </c>
      <c r="C32" s="101">
        <f>B32</f>
        <v>268</v>
      </c>
      <c r="D32" s="101">
        <f aca="true" t="shared" si="7" ref="D32:V32">C32</f>
        <v>268</v>
      </c>
      <c r="E32" s="101">
        <f t="shared" si="7"/>
        <v>268</v>
      </c>
      <c r="F32" s="101">
        <f t="shared" si="7"/>
        <v>268</v>
      </c>
      <c r="G32" s="101">
        <f t="shared" si="7"/>
        <v>268</v>
      </c>
      <c r="H32" s="101">
        <f t="shared" si="7"/>
        <v>268</v>
      </c>
      <c r="I32" s="101">
        <f t="shared" si="7"/>
        <v>268</v>
      </c>
      <c r="J32" s="101">
        <f t="shared" si="7"/>
        <v>268</v>
      </c>
      <c r="K32" s="101">
        <f t="shared" si="7"/>
        <v>268</v>
      </c>
      <c r="L32" s="101">
        <f t="shared" si="7"/>
        <v>268</v>
      </c>
      <c r="M32" s="101">
        <f t="shared" si="7"/>
        <v>268</v>
      </c>
      <c r="N32" s="101">
        <f t="shared" si="7"/>
        <v>268</v>
      </c>
      <c r="O32" s="101">
        <f t="shared" si="7"/>
        <v>268</v>
      </c>
      <c r="P32" s="101">
        <f t="shared" si="7"/>
        <v>268</v>
      </c>
      <c r="Q32" s="101">
        <f t="shared" si="7"/>
        <v>268</v>
      </c>
      <c r="R32" s="101">
        <f t="shared" si="7"/>
        <v>268</v>
      </c>
      <c r="S32" s="101">
        <f t="shared" si="7"/>
        <v>268</v>
      </c>
      <c r="T32" s="101">
        <f t="shared" si="7"/>
        <v>268</v>
      </c>
      <c r="U32" s="101">
        <f t="shared" si="7"/>
        <v>268</v>
      </c>
      <c r="V32" s="156">
        <f t="shared" si="7"/>
        <v>268</v>
      </c>
      <c r="W32" s="227"/>
    </row>
    <row r="33" spans="1:23" ht="15">
      <c r="A33" s="328" t="s">
        <v>199</v>
      </c>
      <c r="B33" s="170"/>
      <c r="C33" s="329"/>
      <c r="D33" s="329"/>
      <c r="E33" s="329"/>
      <c r="F33" s="329"/>
      <c r="G33" s="329"/>
      <c r="H33" s="329"/>
      <c r="I33" s="326"/>
      <c r="J33" s="326"/>
      <c r="K33" s="326"/>
      <c r="L33" s="326"/>
      <c r="M33" s="326"/>
      <c r="N33" s="326"/>
      <c r="O33" s="326"/>
      <c r="P33" s="326"/>
      <c r="Q33" s="326"/>
      <c r="R33" s="326"/>
      <c r="S33" s="326"/>
      <c r="T33" s="326"/>
      <c r="U33" s="326"/>
      <c r="V33" s="610"/>
      <c r="W33" s="227"/>
    </row>
    <row r="34" spans="1:23" ht="15">
      <c r="A34" s="328"/>
      <c r="B34" s="170"/>
      <c r="C34" s="329"/>
      <c r="D34" s="329"/>
      <c r="E34" s="329"/>
      <c r="F34" s="329"/>
      <c r="G34" s="329"/>
      <c r="H34" s="329"/>
      <c r="I34" s="326"/>
      <c r="J34" s="326"/>
      <c r="K34" s="326"/>
      <c r="L34" s="326"/>
      <c r="M34" s="326"/>
      <c r="N34" s="326"/>
      <c r="O34" s="326"/>
      <c r="P34" s="326"/>
      <c r="Q34" s="326"/>
      <c r="R34" s="326"/>
      <c r="S34" s="326"/>
      <c r="T34" s="326"/>
      <c r="U34" s="326"/>
      <c r="V34" s="610"/>
      <c r="W34" s="227"/>
    </row>
    <row r="35" spans="1:23" ht="15">
      <c r="A35" s="637" t="s">
        <v>200</v>
      </c>
      <c r="B35" s="170"/>
      <c r="C35" s="329"/>
      <c r="D35" s="329"/>
      <c r="E35" s="329"/>
      <c r="F35" s="329"/>
      <c r="G35" s="329"/>
      <c r="H35" s="329"/>
      <c r="I35" s="326"/>
      <c r="J35" s="326"/>
      <c r="K35" s="326"/>
      <c r="L35" s="326"/>
      <c r="M35" s="326"/>
      <c r="N35" s="326"/>
      <c r="O35" s="326"/>
      <c r="P35" s="326"/>
      <c r="Q35" s="326"/>
      <c r="R35" s="326"/>
      <c r="S35" s="326"/>
      <c r="T35" s="326"/>
      <c r="U35" s="326"/>
      <c r="V35" s="610"/>
      <c r="W35" s="227"/>
    </row>
    <row r="36" spans="1:23" ht="15">
      <c r="A36" s="659"/>
      <c r="B36" s="326"/>
      <c r="C36" s="326"/>
      <c r="D36" s="326"/>
      <c r="E36" s="326"/>
      <c r="F36" s="326"/>
      <c r="G36" s="326"/>
      <c r="H36" s="326"/>
      <c r="I36" s="326"/>
      <c r="J36" s="326"/>
      <c r="K36" s="326"/>
      <c r="L36" s="326"/>
      <c r="M36" s="326"/>
      <c r="N36" s="326"/>
      <c r="O36" s="326"/>
      <c r="P36" s="326"/>
      <c r="Q36" s="326"/>
      <c r="R36" s="326"/>
      <c r="S36" s="326"/>
      <c r="T36" s="326"/>
      <c r="U36" s="326"/>
      <c r="V36" s="610"/>
      <c r="W36" s="227"/>
    </row>
    <row r="37" spans="1:23" ht="15">
      <c r="A37" s="859" t="s">
        <v>92</v>
      </c>
      <c r="B37" s="860"/>
      <c r="C37" s="860"/>
      <c r="D37" s="860"/>
      <c r="E37" s="860"/>
      <c r="F37" s="860"/>
      <c r="G37" s="860"/>
      <c r="H37" s="860"/>
      <c r="I37" s="860"/>
      <c r="J37" s="860"/>
      <c r="K37" s="860"/>
      <c r="L37" s="860"/>
      <c r="M37" s="860"/>
      <c r="N37" s="860"/>
      <c r="O37" s="860"/>
      <c r="P37" s="860"/>
      <c r="Q37" s="860"/>
      <c r="R37" s="860"/>
      <c r="S37" s="860"/>
      <c r="T37" s="860"/>
      <c r="U37" s="860"/>
      <c r="V37" s="861"/>
      <c r="W37" s="227"/>
    </row>
    <row r="38" spans="1:23" ht="15">
      <c r="A38" s="857" t="s">
        <v>117</v>
      </c>
      <c r="B38" s="8">
        <v>0</v>
      </c>
      <c r="C38" s="8">
        <v>1</v>
      </c>
      <c r="D38" s="8">
        <v>2</v>
      </c>
      <c r="E38" s="8">
        <v>3</v>
      </c>
      <c r="F38" s="8">
        <v>4</v>
      </c>
      <c r="G38" s="8">
        <v>5</v>
      </c>
      <c r="H38" s="8">
        <v>6</v>
      </c>
      <c r="I38" s="8">
        <v>7</v>
      </c>
      <c r="J38" s="8">
        <v>8</v>
      </c>
      <c r="K38" s="8">
        <v>9</v>
      </c>
      <c r="L38" s="8">
        <v>10</v>
      </c>
      <c r="M38" s="8">
        <v>11</v>
      </c>
      <c r="N38" s="8">
        <v>12</v>
      </c>
      <c r="O38" s="8">
        <v>13</v>
      </c>
      <c r="P38" s="8">
        <v>14</v>
      </c>
      <c r="Q38" s="8">
        <v>15</v>
      </c>
      <c r="R38" s="8">
        <v>16</v>
      </c>
      <c r="S38" s="8">
        <v>17</v>
      </c>
      <c r="T38" s="8">
        <v>18</v>
      </c>
      <c r="U38" s="8">
        <v>19</v>
      </c>
      <c r="V38" s="114">
        <v>20</v>
      </c>
      <c r="W38" s="227"/>
    </row>
    <row r="39" spans="1:23" ht="15">
      <c r="A39" s="858"/>
      <c r="B39" s="8">
        <f>+B15</f>
        <v>2011</v>
      </c>
      <c r="C39" s="8">
        <f aca="true" t="shared" si="8" ref="C39:V39">+B39+1</f>
        <v>2012</v>
      </c>
      <c r="D39" s="8">
        <f t="shared" si="8"/>
        <v>2013</v>
      </c>
      <c r="E39" s="8">
        <f t="shared" si="8"/>
        <v>2014</v>
      </c>
      <c r="F39" s="8">
        <f t="shared" si="8"/>
        <v>2015</v>
      </c>
      <c r="G39" s="8">
        <f t="shared" si="8"/>
        <v>2016</v>
      </c>
      <c r="H39" s="8">
        <f t="shared" si="8"/>
        <v>2017</v>
      </c>
      <c r="I39" s="8">
        <f t="shared" si="8"/>
        <v>2018</v>
      </c>
      <c r="J39" s="8">
        <f t="shared" si="8"/>
        <v>2019</v>
      </c>
      <c r="K39" s="8">
        <f t="shared" si="8"/>
        <v>2020</v>
      </c>
      <c r="L39" s="8">
        <f t="shared" si="8"/>
        <v>2021</v>
      </c>
      <c r="M39" s="8">
        <f t="shared" si="8"/>
        <v>2022</v>
      </c>
      <c r="N39" s="8">
        <f t="shared" si="8"/>
        <v>2023</v>
      </c>
      <c r="O39" s="8">
        <f t="shared" si="8"/>
        <v>2024</v>
      </c>
      <c r="P39" s="8">
        <f t="shared" si="8"/>
        <v>2025</v>
      </c>
      <c r="Q39" s="8">
        <f t="shared" si="8"/>
        <v>2026</v>
      </c>
      <c r="R39" s="8">
        <f t="shared" si="8"/>
        <v>2027</v>
      </c>
      <c r="S39" s="8">
        <f t="shared" si="8"/>
        <v>2028</v>
      </c>
      <c r="T39" s="8">
        <f t="shared" si="8"/>
        <v>2029</v>
      </c>
      <c r="U39" s="8">
        <f t="shared" si="8"/>
        <v>2030</v>
      </c>
      <c r="V39" s="114">
        <f t="shared" si="8"/>
        <v>2031</v>
      </c>
      <c r="W39" s="227"/>
    </row>
    <row r="40" spans="1:23" ht="15">
      <c r="A40" s="660" t="str">
        <f>Entrada!B29&amp;Entrada!B30&amp;" (kW)"</f>
        <v>Subestacion Pomabamba (kW)</v>
      </c>
      <c r="B40" s="661">
        <f>Entrada!B31</f>
        <v>4750</v>
      </c>
      <c r="C40" s="457">
        <f>Entrada!B32</f>
        <v>4750</v>
      </c>
      <c r="D40" s="457">
        <f>Entrada!B33</f>
        <v>4750</v>
      </c>
      <c r="E40" s="457">
        <f>Entrada!B34</f>
        <v>4750</v>
      </c>
      <c r="F40" s="457">
        <f>Entrada!B35</f>
        <v>4750</v>
      </c>
      <c r="G40" s="457">
        <f>Entrada!B36</f>
        <v>4750</v>
      </c>
      <c r="H40" s="457">
        <f>Entrada!B37</f>
        <v>4750</v>
      </c>
      <c r="I40" s="457">
        <f>Entrada!B38</f>
        <v>4750</v>
      </c>
      <c r="J40" s="457">
        <f>Entrada!B39</f>
        <v>4750</v>
      </c>
      <c r="K40" s="457">
        <f>Entrada!B40</f>
        <v>4750</v>
      </c>
      <c r="L40" s="457">
        <f>Entrada!B41</f>
        <v>4750</v>
      </c>
      <c r="M40" s="457">
        <f>Entrada!B42</f>
        <v>4750</v>
      </c>
      <c r="N40" s="457">
        <f>Entrada!B43</f>
        <v>4750</v>
      </c>
      <c r="O40" s="457">
        <f>Entrada!B44</f>
        <v>4750</v>
      </c>
      <c r="P40" s="457">
        <f>Entrada!B45</f>
        <v>4750</v>
      </c>
      <c r="Q40" s="457">
        <f>Entrada!B46</f>
        <v>4750</v>
      </c>
      <c r="R40" s="457">
        <f>Entrada!B47</f>
        <v>4750</v>
      </c>
      <c r="S40" s="457">
        <f>Entrada!B48</f>
        <v>4750</v>
      </c>
      <c r="T40" s="457">
        <f>Entrada!B49</f>
        <v>4750</v>
      </c>
      <c r="U40" s="457">
        <f>Entrada!B50</f>
        <v>4750</v>
      </c>
      <c r="V40" s="642">
        <f>Entrada!B51</f>
        <v>4750</v>
      </c>
      <c r="W40" s="227"/>
    </row>
    <row r="41" spans="1:23" ht="15">
      <c r="A41" s="641" t="str">
        <f>Entrada!C29&amp;Entrada!C30&amp;" (kW)"</f>
        <v>P.C. Hidraulica Pomabamba (kW)</v>
      </c>
      <c r="B41" s="457">
        <f>Entrada!C31</f>
        <v>1200</v>
      </c>
      <c r="C41" s="457">
        <f>Entrada!C32</f>
        <v>1200</v>
      </c>
      <c r="D41" s="457">
        <f>Entrada!C33</f>
        <v>1200</v>
      </c>
      <c r="E41" s="457">
        <f>Entrada!C34</f>
        <v>1200</v>
      </c>
      <c r="F41" s="457">
        <f>Entrada!C35</f>
        <v>1200</v>
      </c>
      <c r="G41" s="457">
        <f>Entrada!C36</f>
        <v>1200</v>
      </c>
      <c r="H41" s="457">
        <f>Entrada!C37</f>
        <v>1200</v>
      </c>
      <c r="I41" s="457">
        <f>Entrada!C38</f>
        <v>1200</v>
      </c>
      <c r="J41" s="457">
        <f>Entrada!C39</f>
        <v>1200</v>
      </c>
      <c r="K41" s="457">
        <f>Entrada!C40</f>
        <v>1200</v>
      </c>
      <c r="L41" s="457">
        <f>Entrada!C41</f>
        <v>1200</v>
      </c>
      <c r="M41" s="457">
        <f>Entrada!C42</f>
        <v>1200</v>
      </c>
      <c r="N41" s="457">
        <f>Entrada!C43</f>
        <v>1200</v>
      </c>
      <c r="O41" s="457">
        <f>Entrada!C44</f>
        <v>1200</v>
      </c>
      <c r="P41" s="457">
        <f>Entrada!C45</f>
        <v>1200</v>
      </c>
      <c r="Q41" s="457">
        <f>Entrada!C46</f>
        <v>1200</v>
      </c>
      <c r="R41" s="457">
        <f>Entrada!C47</f>
        <v>1200</v>
      </c>
      <c r="S41" s="457">
        <f>Entrada!C48</f>
        <v>1200</v>
      </c>
      <c r="T41" s="457">
        <f>Entrada!C49</f>
        <v>1200</v>
      </c>
      <c r="U41" s="457">
        <f>Entrada!C50</f>
        <v>1200</v>
      </c>
      <c r="V41" s="642">
        <f>Entrada!C51</f>
        <v>1200</v>
      </c>
      <c r="W41" s="227"/>
    </row>
    <row r="42" spans="1:23" ht="15">
      <c r="A42" s="641" t="str">
        <f>Entrada!D29&amp;Entrada!D30&amp;" (kW)"</f>
        <v>Grupo térmico  (kW)</v>
      </c>
      <c r="B42" s="457">
        <f>Entrada!D31</f>
        <v>0</v>
      </c>
      <c r="C42" s="457">
        <f>Entrada!D32</f>
        <v>0</v>
      </c>
      <c r="D42" s="457">
        <f>Entrada!D33</f>
        <v>0</v>
      </c>
      <c r="E42" s="457">
        <f>Entrada!D34</f>
        <v>0</v>
      </c>
      <c r="F42" s="457">
        <f>Entrada!D35</f>
        <v>0</v>
      </c>
      <c r="G42" s="457">
        <f>Entrada!D36</f>
        <v>0</v>
      </c>
      <c r="H42" s="457">
        <f>Entrada!D37</f>
        <v>0</v>
      </c>
      <c r="I42" s="457">
        <f>Entrada!D38</f>
        <v>0</v>
      </c>
      <c r="J42" s="457">
        <f>Entrada!D39</f>
        <v>0</v>
      </c>
      <c r="K42" s="457">
        <f>Entrada!D40</f>
        <v>0</v>
      </c>
      <c r="L42" s="457">
        <f>Entrada!D41</f>
        <v>0</v>
      </c>
      <c r="M42" s="457">
        <f>Entrada!D42</f>
        <v>0</v>
      </c>
      <c r="N42" s="457">
        <f>Entrada!D43</f>
        <v>0</v>
      </c>
      <c r="O42" s="457">
        <f>Entrada!D44</f>
        <v>0</v>
      </c>
      <c r="P42" s="457">
        <f>Entrada!D45</f>
        <v>0</v>
      </c>
      <c r="Q42" s="457">
        <f>Entrada!D46</f>
        <v>0</v>
      </c>
      <c r="R42" s="457">
        <f>Entrada!D47</f>
        <v>0</v>
      </c>
      <c r="S42" s="457">
        <f>Entrada!D48</f>
        <v>0</v>
      </c>
      <c r="T42" s="457">
        <f>Entrada!D49</f>
        <v>0</v>
      </c>
      <c r="U42" s="457">
        <f>Entrada!D50</f>
        <v>0</v>
      </c>
      <c r="V42" s="642">
        <f>Entrada!D51</f>
        <v>0</v>
      </c>
      <c r="W42" s="227"/>
    </row>
    <row r="43" spans="1:23" ht="15.75" thickBot="1">
      <c r="A43" s="662" t="s">
        <v>122</v>
      </c>
      <c r="B43" s="663">
        <f>SUM(B40:B42)</f>
        <v>5950</v>
      </c>
      <c r="C43" s="663">
        <f aca="true" t="shared" si="9" ref="C43:V43">SUM(C40:C42)</f>
        <v>5950</v>
      </c>
      <c r="D43" s="663">
        <f t="shared" si="9"/>
        <v>5950</v>
      </c>
      <c r="E43" s="663">
        <f t="shared" si="9"/>
        <v>5950</v>
      </c>
      <c r="F43" s="663">
        <f t="shared" si="9"/>
        <v>5950</v>
      </c>
      <c r="G43" s="663">
        <f t="shared" si="9"/>
        <v>5950</v>
      </c>
      <c r="H43" s="663">
        <f t="shared" si="9"/>
        <v>5950</v>
      </c>
      <c r="I43" s="663">
        <f t="shared" si="9"/>
        <v>5950</v>
      </c>
      <c r="J43" s="663">
        <f t="shared" si="9"/>
        <v>5950</v>
      </c>
      <c r="K43" s="663">
        <f t="shared" si="9"/>
        <v>5950</v>
      </c>
      <c r="L43" s="663">
        <f t="shared" si="9"/>
        <v>5950</v>
      </c>
      <c r="M43" s="663">
        <f t="shared" si="9"/>
        <v>5950</v>
      </c>
      <c r="N43" s="663">
        <f t="shared" si="9"/>
        <v>5950</v>
      </c>
      <c r="O43" s="663">
        <f t="shared" si="9"/>
        <v>5950</v>
      </c>
      <c r="P43" s="663">
        <f t="shared" si="9"/>
        <v>5950</v>
      </c>
      <c r="Q43" s="663">
        <f t="shared" si="9"/>
        <v>5950</v>
      </c>
      <c r="R43" s="663">
        <f t="shared" si="9"/>
        <v>5950</v>
      </c>
      <c r="S43" s="663">
        <f t="shared" si="9"/>
        <v>5950</v>
      </c>
      <c r="T43" s="663">
        <f t="shared" si="9"/>
        <v>5950</v>
      </c>
      <c r="U43" s="663">
        <f t="shared" si="9"/>
        <v>5950</v>
      </c>
      <c r="V43" s="664">
        <f t="shared" si="9"/>
        <v>5950</v>
      </c>
      <c r="W43" s="227"/>
    </row>
    <row r="44" spans="1:23" ht="15">
      <c r="A44" s="540"/>
      <c r="B44" s="540"/>
      <c r="C44" s="540"/>
      <c r="D44" s="540"/>
      <c r="E44" s="540"/>
      <c r="F44" s="540"/>
      <c r="G44" s="540"/>
      <c r="H44" s="540"/>
      <c r="I44" s="540"/>
      <c r="J44" s="540"/>
      <c r="K44" s="540"/>
      <c r="L44" s="540"/>
      <c r="M44" s="540"/>
      <c r="N44" s="540"/>
      <c r="O44" s="540"/>
      <c r="P44" s="540"/>
      <c r="Q44" s="540"/>
      <c r="R44" s="540"/>
      <c r="S44" s="540"/>
      <c r="T44" s="540"/>
      <c r="U44" s="540"/>
      <c r="V44" s="540"/>
      <c r="W44" s="227"/>
    </row>
  </sheetData>
  <sheetProtection password="FFA0" sheet="1" objects="1"/>
  <mergeCells count="9">
    <mergeCell ref="A38:A39"/>
    <mergeCell ref="A14:A15"/>
    <mergeCell ref="A37:V37"/>
    <mergeCell ref="A2:V2"/>
    <mergeCell ref="A3:V3"/>
    <mergeCell ref="A7:U7"/>
    <mergeCell ref="A13:V13"/>
    <mergeCell ref="A23:V23"/>
    <mergeCell ref="A24:A25"/>
  </mergeCells>
  <printOptions horizontalCentered="1" verticalCentered="1"/>
  <pageMargins left="0.4724409448818898" right="0.4330708661417323" top="1.1811023622047245" bottom="0.7480314960629921" header="0.31496062992125984" footer="0.31496062992125984"/>
  <pageSetup fitToHeight="1" fitToWidth="1" horizontalDpi="600" verticalDpi="600" orientation="landscape" paperSize="9" scale="63" r:id="rId2"/>
  <drawing r:id="rId1"/>
</worksheet>
</file>

<file path=xl/worksheets/sheet7.xml><?xml version="1.0" encoding="utf-8"?>
<worksheet xmlns="http://schemas.openxmlformats.org/spreadsheetml/2006/main" xmlns:r="http://schemas.openxmlformats.org/officeDocument/2006/relationships">
  <sheetPr codeName="Hoja10">
    <pageSetUpPr fitToPage="1"/>
  </sheetPr>
  <dimension ref="A1:W51"/>
  <sheetViews>
    <sheetView showGridLines="0" showZeros="0" zoomScaleSheetLayoutView="100" zoomScalePageLayoutView="0" workbookViewId="0" topLeftCell="A1">
      <pane ySplit="3" topLeftCell="A42" activePane="bottomLeft" state="frozen"/>
      <selection pane="topLeft" activeCell="K132" sqref="K132"/>
      <selection pane="bottomLeft" activeCell="K41" sqref="K41"/>
    </sheetView>
  </sheetViews>
  <sheetFormatPr defaultColWidth="11.421875" defaultRowHeight="15"/>
  <cols>
    <col min="1" max="1" width="43.00390625" style="234" customWidth="1"/>
    <col min="2" max="2" width="7.57421875" style="234" customWidth="1"/>
    <col min="3" max="3" width="7.00390625" style="234" customWidth="1"/>
    <col min="4" max="21" width="6.7109375" style="234" customWidth="1"/>
    <col min="22" max="22" width="7.57421875" style="234" customWidth="1"/>
    <col min="23" max="16384" width="11.421875" style="234" customWidth="1"/>
  </cols>
  <sheetData>
    <row r="1" spans="1:23" ht="27.75" customHeight="1" thickBot="1">
      <c r="A1" s="227"/>
      <c r="B1" s="227"/>
      <c r="C1" s="227"/>
      <c r="D1" s="227"/>
      <c r="E1" s="227"/>
      <c r="F1" s="227"/>
      <c r="G1" s="227"/>
      <c r="H1" s="227"/>
      <c r="I1" s="227"/>
      <c r="J1" s="227"/>
      <c r="K1" s="227"/>
      <c r="L1" s="227"/>
      <c r="M1" s="227"/>
      <c r="N1" s="227"/>
      <c r="O1" s="227"/>
      <c r="P1" s="227"/>
      <c r="Q1" s="227"/>
      <c r="R1" s="227"/>
      <c r="S1" s="227"/>
      <c r="T1" s="227"/>
      <c r="U1" s="227"/>
      <c r="V1" s="227"/>
      <c r="W1" s="227"/>
    </row>
    <row r="2" spans="1:23" ht="15.75">
      <c r="A2" s="846" t="s">
        <v>116</v>
      </c>
      <c r="B2" s="847"/>
      <c r="C2" s="847"/>
      <c r="D2" s="847"/>
      <c r="E2" s="847"/>
      <c r="F2" s="847"/>
      <c r="G2" s="847"/>
      <c r="H2" s="847"/>
      <c r="I2" s="847"/>
      <c r="J2" s="847"/>
      <c r="K2" s="847"/>
      <c r="L2" s="847"/>
      <c r="M2" s="847"/>
      <c r="N2" s="847"/>
      <c r="O2" s="847"/>
      <c r="P2" s="847"/>
      <c r="Q2" s="847"/>
      <c r="R2" s="847"/>
      <c r="S2" s="847"/>
      <c r="T2" s="847"/>
      <c r="U2" s="847"/>
      <c r="V2" s="848"/>
      <c r="W2" s="227"/>
    </row>
    <row r="3" spans="1:23" ht="15.75">
      <c r="A3" s="849" t="s">
        <v>336</v>
      </c>
      <c r="B3" s="850"/>
      <c r="C3" s="850"/>
      <c r="D3" s="850"/>
      <c r="E3" s="850"/>
      <c r="F3" s="850"/>
      <c r="G3" s="850"/>
      <c r="H3" s="850"/>
      <c r="I3" s="850"/>
      <c r="J3" s="850"/>
      <c r="K3" s="850"/>
      <c r="L3" s="850"/>
      <c r="M3" s="850"/>
      <c r="N3" s="850"/>
      <c r="O3" s="850"/>
      <c r="P3" s="850"/>
      <c r="Q3" s="850"/>
      <c r="R3" s="850"/>
      <c r="S3" s="850"/>
      <c r="T3" s="850"/>
      <c r="U3" s="850"/>
      <c r="V3" s="851"/>
      <c r="W3" s="227"/>
    </row>
    <row r="4" spans="1:23" ht="15">
      <c r="A4" s="325"/>
      <c r="B4" s="326"/>
      <c r="C4" s="326"/>
      <c r="D4" s="326"/>
      <c r="E4" s="326"/>
      <c r="F4" s="326"/>
      <c r="G4" s="326"/>
      <c r="H4" s="326"/>
      <c r="I4" s="326"/>
      <c r="J4" s="326"/>
      <c r="K4" s="326"/>
      <c r="L4" s="326"/>
      <c r="M4" s="326"/>
      <c r="N4" s="326"/>
      <c r="O4" s="326"/>
      <c r="P4" s="326"/>
      <c r="Q4" s="326"/>
      <c r="R4" s="326"/>
      <c r="S4" s="326"/>
      <c r="T4" s="326"/>
      <c r="U4" s="326"/>
      <c r="V4" s="610"/>
      <c r="W4" s="227"/>
    </row>
    <row r="5" spans="1:23" ht="15">
      <c r="A5" s="637" t="s">
        <v>121</v>
      </c>
      <c r="B5" s="329"/>
      <c r="C5" s="329"/>
      <c r="D5" s="329"/>
      <c r="E5" s="329"/>
      <c r="F5" s="329"/>
      <c r="G5" s="329"/>
      <c r="H5" s="329"/>
      <c r="I5" s="329"/>
      <c r="J5" s="329"/>
      <c r="K5" s="329"/>
      <c r="L5" s="329"/>
      <c r="M5" s="329"/>
      <c r="N5" s="329"/>
      <c r="O5" s="329"/>
      <c r="P5" s="329"/>
      <c r="Q5" s="329"/>
      <c r="R5" s="329"/>
      <c r="S5" s="329"/>
      <c r="T5" s="329"/>
      <c r="U5" s="329"/>
      <c r="V5" s="291"/>
      <c r="W5" s="227"/>
    </row>
    <row r="6" spans="1:23" ht="15">
      <c r="A6" s="325"/>
      <c r="B6" s="326"/>
      <c r="C6" s="326"/>
      <c r="D6" s="326"/>
      <c r="E6" s="326"/>
      <c r="F6" s="326"/>
      <c r="G6" s="326"/>
      <c r="H6" s="326"/>
      <c r="I6" s="326"/>
      <c r="J6" s="326"/>
      <c r="K6" s="326"/>
      <c r="L6" s="326"/>
      <c r="M6" s="326"/>
      <c r="N6" s="326"/>
      <c r="O6" s="326"/>
      <c r="P6" s="326"/>
      <c r="Q6" s="326"/>
      <c r="R6" s="326"/>
      <c r="S6" s="326"/>
      <c r="T6" s="326"/>
      <c r="U6" s="326"/>
      <c r="V6" s="291"/>
      <c r="W6" s="227"/>
    </row>
    <row r="7" spans="1:23" ht="15">
      <c r="A7" s="862" t="s">
        <v>114</v>
      </c>
      <c r="B7" s="863"/>
      <c r="C7" s="863"/>
      <c r="D7" s="863"/>
      <c r="E7" s="863"/>
      <c r="F7" s="863"/>
      <c r="G7" s="863"/>
      <c r="H7" s="863"/>
      <c r="I7" s="863"/>
      <c r="J7" s="863"/>
      <c r="K7" s="863"/>
      <c r="L7" s="863"/>
      <c r="M7" s="863"/>
      <c r="N7" s="863"/>
      <c r="O7" s="863"/>
      <c r="P7" s="863"/>
      <c r="Q7" s="863"/>
      <c r="R7" s="863"/>
      <c r="S7" s="863"/>
      <c r="T7" s="863"/>
      <c r="U7" s="863"/>
      <c r="V7" s="291"/>
      <c r="W7" s="227"/>
    </row>
    <row r="8" spans="1:23" ht="15">
      <c r="A8" s="187"/>
      <c r="B8" s="170"/>
      <c r="C8" s="170"/>
      <c r="D8" s="170"/>
      <c r="E8" s="170"/>
      <c r="F8" s="170"/>
      <c r="G8" s="170"/>
      <c r="H8" s="170"/>
      <c r="I8" s="170"/>
      <c r="J8" s="170"/>
      <c r="K8" s="170"/>
      <c r="L8" s="170"/>
      <c r="M8" s="170"/>
      <c r="N8" s="170"/>
      <c r="O8" s="170"/>
      <c r="P8" s="170"/>
      <c r="Q8" s="170"/>
      <c r="R8" s="170"/>
      <c r="S8" s="170"/>
      <c r="T8" s="170"/>
      <c r="U8" s="170"/>
      <c r="V8" s="291"/>
      <c r="W8" s="227"/>
    </row>
    <row r="9" spans="1:23" ht="15">
      <c r="A9" s="637" t="s">
        <v>201</v>
      </c>
      <c r="B9" s="394"/>
      <c r="C9" s="329"/>
      <c r="D9" s="329"/>
      <c r="E9" s="329"/>
      <c r="F9" s="329"/>
      <c r="G9" s="329"/>
      <c r="H9" s="329"/>
      <c r="I9" s="329"/>
      <c r="J9" s="329"/>
      <c r="K9" s="329"/>
      <c r="L9" s="329"/>
      <c r="M9" s="329"/>
      <c r="N9" s="329"/>
      <c r="O9" s="329"/>
      <c r="P9" s="329"/>
      <c r="Q9" s="329"/>
      <c r="R9" s="329"/>
      <c r="S9" s="329"/>
      <c r="T9" s="329"/>
      <c r="U9" s="329"/>
      <c r="V9" s="638"/>
      <c r="W9" s="639"/>
    </row>
    <row r="10" spans="1:23" ht="15">
      <c r="A10" s="328"/>
      <c r="B10" s="394"/>
      <c r="C10" s="329"/>
      <c r="D10" s="329"/>
      <c r="E10" s="329"/>
      <c r="F10" s="329"/>
      <c r="G10" s="329"/>
      <c r="H10" s="329"/>
      <c r="I10" s="329"/>
      <c r="J10" s="329"/>
      <c r="K10" s="329"/>
      <c r="L10" s="329"/>
      <c r="M10" s="329"/>
      <c r="N10" s="329"/>
      <c r="O10" s="329"/>
      <c r="P10" s="329"/>
      <c r="Q10" s="329"/>
      <c r="R10" s="329"/>
      <c r="S10" s="329"/>
      <c r="T10" s="329"/>
      <c r="U10" s="329"/>
      <c r="V10" s="638"/>
      <c r="W10" s="639"/>
    </row>
    <row r="11" spans="1:23" ht="15">
      <c r="A11" s="637" t="s">
        <v>203</v>
      </c>
      <c r="B11" s="394"/>
      <c r="C11" s="329"/>
      <c r="D11" s="329"/>
      <c r="E11" s="329"/>
      <c r="F11" s="329"/>
      <c r="G11" s="329"/>
      <c r="H11" s="329"/>
      <c r="I11" s="329"/>
      <c r="J11" s="329"/>
      <c r="K11" s="329"/>
      <c r="L11" s="329"/>
      <c r="M11" s="329"/>
      <c r="N11" s="329"/>
      <c r="O11" s="329"/>
      <c r="P11" s="329"/>
      <c r="Q11" s="329"/>
      <c r="R11" s="329"/>
      <c r="S11" s="329"/>
      <c r="T11" s="329"/>
      <c r="U11" s="329"/>
      <c r="V11" s="638"/>
      <c r="W11" s="639"/>
    </row>
    <row r="12" spans="1:23" ht="15">
      <c r="A12" s="325"/>
      <c r="B12" s="326"/>
      <c r="C12" s="326"/>
      <c r="D12" s="326"/>
      <c r="E12" s="326"/>
      <c r="F12" s="326"/>
      <c r="G12" s="326"/>
      <c r="H12" s="326"/>
      <c r="I12" s="326"/>
      <c r="J12" s="326"/>
      <c r="K12" s="326"/>
      <c r="L12" s="326"/>
      <c r="M12" s="326"/>
      <c r="N12" s="326"/>
      <c r="O12" s="326"/>
      <c r="P12" s="326"/>
      <c r="Q12" s="326"/>
      <c r="R12" s="326"/>
      <c r="S12" s="326"/>
      <c r="T12" s="326"/>
      <c r="U12" s="326"/>
      <c r="V12" s="610"/>
      <c r="W12" s="227"/>
    </row>
    <row r="13" spans="1:23" ht="15">
      <c r="A13" s="859" t="s">
        <v>92</v>
      </c>
      <c r="B13" s="860"/>
      <c r="C13" s="860"/>
      <c r="D13" s="860"/>
      <c r="E13" s="860"/>
      <c r="F13" s="860"/>
      <c r="G13" s="860"/>
      <c r="H13" s="860"/>
      <c r="I13" s="860"/>
      <c r="J13" s="860"/>
      <c r="K13" s="860"/>
      <c r="L13" s="860"/>
      <c r="M13" s="860"/>
      <c r="N13" s="860"/>
      <c r="O13" s="860"/>
      <c r="P13" s="860"/>
      <c r="Q13" s="860"/>
      <c r="R13" s="860"/>
      <c r="S13" s="860"/>
      <c r="T13" s="860"/>
      <c r="U13" s="860"/>
      <c r="V13" s="861"/>
      <c r="W13" s="640"/>
    </row>
    <row r="14" spans="1:23" ht="15">
      <c r="A14" s="857" t="s">
        <v>117</v>
      </c>
      <c r="B14" s="8">
        <v>0</v>
      </c>
      <c r="C14" s="8">
        <v>1</v>
      </c>
      <c r="D14" s="8">
        <v>2</v>
      </c>
      <c r="E14" s="8">
        <v>3</v>
      </c>
      <c r="F14" s="8">
        <v>4</v>
      </c>
      <c r="G14" s="8">
        <v>5</v>
      </c>
      <c r="H14" s="8">
        <v>6</v>
      </c>
      <c r="I14" s="8">
        <v>7</v>
      </c>
      <c r="J14" s="8">
        <v>8</v>
      </c>
      <c r="K14" s="8">
        <v>9</v>
      </c>
      <c r="L14" s="8">
        <v>10</v>
      </c>
      <c r="M14" s="8">
        <v>11</v>
      </c>
      <c r="N14" s="8">
        <v>12</v>
      </c>
      <c r="O14" s="8">
        <v>13</v>
      </c>
      <c r="P14" s="8">
        <v>14</v>
      </c>
      <c r="Q14" s="8">
        <v>15</v>
      </c>
      <c r="R14" s="8">
        <v>16</v>
      </c>
      <c r="S14" s="8">
        <v>17</v>
      </c>
      <c r="T14" s="8">
        <v>18</v>
      </c>
      <c r="U14" s="8">
        <v>19</v>
      </c>
      <c r="V14" s="114">
        <v>20</v>
      </c>
      <c r="W14" s="640"/>
    </row>
    <row r="15" spans="1:23" ht="15">
      <c r="A15" s="858"/>
      <c r="B15" s="8">
        <f>'F2'!C8</f>
        <v>2011</v>
      </c>
      <c r="C15" s="8">
        <f>+B15+1</f>
        <v>2012</v>
      </c>
      <c r="D15" s="8">
        <f aca="true" t="shared" si="0" ref="D15:V15">+C15+1</f>
        <v>2013</v>
      </c>
      <c r="E15" s="8">
        <f t="shared" si="0"/>
        <v>2014</v>
      </c>
      <c r="F15" s="8">
        <f t="shared" si="0"/>
        <v>2015</v>
      </c>
      <c r="G15" s="8">
        <f t="shared" si="0"/>
        <v>2016</v>
      </c>
      <c r="H15" s="8">
        <f t="shared" si="0"/>
        <v>2017</v>
      </c>
      <c r="I15" s="8">
        <f t="shared" si="0"/>
        <v>2018</v>
      </c>
      <c r="J15" s="8">
        <f t="shared" si="0"/>
        <v>2019</v>
      </c>
      <c r="K15" s="8">
        <f t="shared" si="0"/>
        <v>2020</v>
      </c>
      <c r="L15" s="8">
        <f t="shared" si="0"/>
        <v>2021</v>
      </c>
      <c r="M15" s="8">
        <f t="shared" si="0"/>
        <v>2022</v>
      </c>
      <c r="N15" s="8">
        <f t="shared" si="0"/>
        <v>2023</v>
      </c>
      <c r="O15" s="8">
        <f t="shared" si="0"/>
        <v>2024</v>
      </c>
      <c r="P15" s="8">
        <f t="shared" si="0"/>
        <v>2025</v>
      </c>
      <c r="Q15" s="8">
        <f t="shared" si="0"/>
        <v>2026</v>
      </c>
      <c r="R15" s="8">
        <f t="shared" si="0"/>
        <v>2027</v>
      </c>
      <c r="S15" s="8">
        <f t="shared" si="0"/>
        <v>2028</v>
      </c>
      <c r="T15" s="8">
        <f t="shared" si="0"/>
        <v>2029</v>
      </c>
      <c r="U15" s="8">
        <f t="shared" si="0"/>
        <v>2030</v>
      </c>
      <c r="V15" s="114">
        <f t="shared" si="0"/>
        <v>2031</v>
      </c>
      <c r="W15" s="227"/>
    </row>
    <row r="16" spans="1:23" ht="15">
      <c r="A16" s="641"/>
      <c r="B16" s="457"/>
      <c r="C16" s="457"/>
      <c r="D16" s="457"/>
      <c r="E16" s="457"/>
      <c r="F16" s="457"/>
      <c r="G16" s="457"/>
      <c r="H16" s="457"/>
      <c r="I16" s="457"/>
      <c r="J16" s="457"/>
      <c r="K16" s="457"/>
      <c r="L16" s="457"/>
      <c r="M16" s="457"/>
      <c r="N16" s="457"/>
      <c r="O16" s="457"/>
      <c r="P16" s="457"/>
      <c r="Q16" s="457"/>
      <c r="R16" s="457"/>
      <c r="S16" s="457"/>
      <c r="T16" s="457"/>
      <c r="U16" s="457"/>
      <c r="V16" s="642"/>
      <c r="W16" s="227"/>
    </row>
    <row r="17" spans="1:23" ht="15">
      <c r="A17" s="643" t="s">
        <v>118</v>
      </c>
      <c r="B17" s="644">
        <v>0</v>
      </c>
      <c r="C17" s="644">
        <v>0</v>
      </c>
      <c r="D17" s="644">
        <v>0</v>
      </c>
      <c r="E17" s="644">
        <v>0</v>
      </c>
      <c r="F17" s="644">
        <v>0</v>
      </c>
      <c r="G17" s="644">
        <v>0</v>
      </c>
      <c r="H17" s="644">
        <v>0</v>
      </c>
      <c r="I17" s="644">
        <v>0</v>
      </c>
      <c r="J17" s="644">
        <v>0</v>
      </c>
      <c r="K17" s="644">
        <v>0</v>
      </c>
      <c r="L17" s="644">
        <v>0</v>
      </c>
      <c r="M17" s="644">
        <v>0</v>
      </c>
      <c r="N17" s="644">
        <v>0</v>
      </c>
      <c r="O17" s="644">
        <v>0</v>
      </c>
      <c r="P17" s="644">
        <v>0</v>
      </c>
      <c r="Q17" s="644">
        <v>0</v>
      </c>
      <c r="R17" s="644">
        <v>0</v>
      </c>
      <c r="S17" s="644">
        <v>0</v>
      </c>
      <c r="T17" s="644">
        <v>0</v>
      </c>
      <c r="U17" s="644">
        <v>0</v>
      </c>
      <c r="V17" s="645">
        <v>0</v>
      </c>
      <c r="W17" s="646"/>
    </row>
    <row r="18" spans="1:23" ht="15">
      <c r="A18" s="647"/>
      <c r="B18" s="459"/>
      <c r="C18" s="459"/>
      <c r="D18" s="459"/>
      <c r="E18" s="459"/>
      <c r="F18" s="459"/>
      <c r="G18" s="459"/>
      <c r="H18" s="459"/>
      <c r="I18" s="459"/>
      <c r="J18" s="459"/>
      <c r="K18" s="459"/>
      <c r="L18" s="459"/>
      <c r="M18" s="459"/>
      <c r="N18" s="459"/>
      <c r="O18" s="459"/>
      <c r="P18" s="459"/>
      <c r="Q18" s="459"/>
      <c r="R18" s="459"/>
      <c r="S18" s="459"/>
      <c r="T18" s="459"/>
      <c r="U18" s="459"/>
      <c r="V18" s="648"/>
      <c r="W18" s="227"/>
    </row>
    <row r="19" spans="1:23" ht="15">
      <c r="A19" s="353" t="s">
        <v>123</v>
      </c>
      <c r="B19" s="233">
        <f>SUM(B17:B18)</f>
        <v>0</v>
      </c>
      <c r="C19" s="233">
        <f aca="true" t="shared" si="1" ref="C19:V19">SUM(C17:C18)</f>
        <v>0</v>
      </c>
      <c r="D19" s="233">
        <f t="shared" si="1"/>
        <v>0</v>
      </c>
      <c r="E19" s="233">
        <f t="shared" si="1"/>
        <v>0</v>
      </c>
      <c r="F19" s="233">
        <f t="shared" si="1"/>
        <v>0</v>
      </c>
      <c r="G19" s="233">
        <f t="shared" si="1"/>
        <v>0</v>
      </c>
      <c r="H19" s="233">
        <f t="shared" si="1"/>
        <v>0</v>
      </c>
      <c r="I19" s="233">
        <f t="shared" si="1"/>
        <v>0</v>
      </c>
      <c r="J19" s="233">
        <f t="shared" si="1"/>
        <v>0</v>
      </c>
      <c r="K19" s="233">
        <f t="shared" si="1"/>
        <v>0</v>
      </c>
      <c r="L19" s="233">
        <f t="shared" si="1"/>
        <v>0</v>
      </c>
      <c r="M19" s="233">
        <f t="shared" si="1"/>
        <v>0</v>
      </c>
      <c r="N19" s="233">
        <f t="shared" si="1"/>
        <v>0</v>
      </c>
      <c r="O19" s="233">
        <f t="shared" si="1"/>
        <v>0</v>
      </c>
      <c r="P19" s="233">
        <f t="shared" si="1"/>
        <v>0</v>
      </c>
      <c r="Q19" s="233">
        <f t="shared" si="1"/>
        <v>0</v>
      </c>
      <c r="R19" s="233">
        <f t="shared" si="1"/>
        <v>0</v>
      </c>
      <c r="S19" s="233">
        <f t="shared" si="1"/>
        <v>0</v>
      </c>
      <c r="T19" s="233">
        <f t="shared" si="1"/>
        <v>0</v>
      </c>
      <c r="U19" s="233">
        <f t="shared" si="1"/>
        <v>0</v>
      </c>
      <c r="V19" s="649">
        <f t="shared" si="1"/>
        <v>0</v>
      </c>
      <c r="W19" s="227"/>
    </row>
    <row r="20" spans="1:23" ht="15">
      <c r="A20" s="187"/>
      <c r="B20" s="170"/>
      <c r="C20" s="170"/>
      <c r="D20" s="170"/>
      <c r="E20" s="170"/>
      <c r="F20" s="170"/>
      <c r="G20" s="170"/>
      <c r="H20" s="170"/>
      <c r="I20" s="170"/>
      <c r="J20" s="170"/>
      <c r="K20" s="170"/>
      <c r="L20" s="170"/>
      <c r="M20" s="170"/>
      <c r="N20" s="170"/>
      <c r="O20" s="170"/>
      <c r="P20" s="170"/>
      <c r="Q20" s="170"/>
      <c r="R20" s="170"/>
      <c r="S20" s="170"/>
      <c r="T20" s="170"/>
      <c r="U20" s="170"/>
      <c r="V20" s="291"/>
      <c r="W20" s="227"/>
    </row>
    <row r="21" spans="1:23" ht="15">
      <c r="A21" s="637" t="s">
        <v>202</v>
      </c>
      <c r="B21" s="170"/>
      <c r="C21" s="329"/>
      <c r="D21" s="329"/>
      <c r="E21" s="329"/>
      <c r="F21" s="329"/>
      <c r="G21" s="329"/>
      <c r="H21" s="329"/>
      <c r="I21" s="326"/>
      <c r="J21" s="326"/>
      <c r="K21" s="326"/>
      <c r="L21" s="326"/>
      <c r="M21" s="326"/>
      <c r="N21" s="326"/>
      <c r="O21" s="326"/>
      <c r="P21" s="326"/>
      <c r="Q21" s="326"/>
      <c r="R21" s="326"/>
      <c r="S21" s="326"/>
      <c r="T21" s="326"/>
      <c r="U21" s="326"/>
      <c r="V21" s="610"/>
      <c r="W21" s="227"/>
    </row>
    <row r="22" spans="1:23" ht="15">
      <c r="A22" s="328"/>
      <c r="B22" s="170"/>
      <c r="C22" s="329"/>
      <c r="D22" s="329"/>
      <c r="E22" s="329"/>
      <c r="F22" s="329"/>
      <c r="G22" s="329"/>
      <c r="H22" s="329"/>
      <c r="I22" s="326"/>
      <c r="J22" s="326"/>
      <c r="K22" s="326"/>
      <c r="L22" s="326"/>
      <c r="M22" s="326"/>
      <c r="N22" s="326"/>
      <c r="O22" s="326"/>
      <c r="P22" s="326"/>
      <c r="Q22" s="326"/>
      <c r="R22" s="326"/>
      <c r="S22" s="326"/>
      <c r="T22" s="326"/>
      <c r="U22" s="326"/>
      <c r="V22" s="610"/>
      <c r="W22" s="227"/>
    </row>
    <row r="23" spans="1:23" ht="15">
      <c r="A23" s="859" t="s">
        <v>92</v>
      </c>
      <c r="B23" s="860"/>
      <c r="C23" s="860"/>
      <c r="D23" s="860"/>
      <c r="E23" s="860"/>
      <c r="F23" s="860"/>
      <c r="G23" s="860"/>
      <c r="H23" s="860"/>
      <c r="I23" s="860"/>
      <c r="J23" s="860"/>
      <c r="K23" s="860"/>
      <c r="L23" s="860"/>
      <c r="M23" s="860"/>
      <c r="N23" s="860"/>
      <c r="O23" s="860"/>
      <c r="P23" s="860"/>
      <c r="Q23" s="860"/>
      <c r="R23" s="860"/>
      <c r="S23" s="860"/>
      <c r="T23" s="860"/>
      <c r="U23" s="860"/>
      <c r="V23" s="861"/>
      <c r="W23" s="227"/>
    </row>
    <row r="24" spans="1:23" ht="15">
      <c r="A24" s="857" t="s">
        <v>117</v>
      </c>
      <c r="B24" s="8">
        <v>0</v>
      </c>
      <c r="C24" s="8">
        <v>1</v>
      </c>
      <c r="D24" s="8">
        <v>2</v>
      </c>
      <c r="E24" s="8">
        <v>3</v>
      </c>
      <c r="F24" s="8">
        <v>4</v>
      </c>
      <c r="G24" s="8">
        <v>5</v>
      </c>
      <c r="H24" s="8">
        <v>6</v>
      </c>
      <c r="I24" s="8">
        <v>7</v>
      </c>
      <c r="J24" s="8">
        <v>8</v>
      </c>
      <c r="K24" s="8">
        <v>9</v>
      </c>
      <c r="L24" s="8">
        <v>10</v>
      </c>
      <c r="M24" s="8">
        <v>11</v>
      </c>
      <c r="N24" s="8">
        <v>12</v>
      </c>
      <c r="O24" s="8">
        <v>13</v>
      </c>
      <c r="P24" s="8">
        <v>14</v>
      </c>
      <c r="Q24" s="8">
        <v>15</v>
      </c>
      <c r="R24" s="8">
        <v>16</v>
      </c>
      <c r="S24" s="8">
        <v>17</v>
      </c>
      <c r="T24" s="8">
        <v>18</v>
      </c>
      <c r="U24" s="8">
        <v>19</v>
      </c>
      <c r="V24" s="114">
        <v>20</v>
      </c>
      <c r="W24" s="227"/>
    </row>
    <row r="25" spans="1:23" ht="15">
      <c r="A25" s="858"/>
      <c r="B25" s="8">
        <f>'F2'!C8</f>
        <v>2011</v>
      </c>
      <c r="C25" s="8">
        <f aca="true" t="shared" si="2" ref="C25:V25">+B25+1</f>
        <v>2012</v>
      </c>
      <c r="D25" s="8">
        <f t="shared" si="2"/>
        <v>2013</v>
      </c>
      <c r="E25" s="8">
        <f t="shared" si="2"/>
        <v>2014</v>
      </c>
      <c r="F25" s="8">
        <f t="shared" si="2"/>
        <v>2015</v>
      </c>
      <c r="G25" s="8">
        <f t="shared" si="2"/>
        <v>2016</v>
      </c>
      <c r="H25" s="8">
        <f t="shared" si="2"/>
        <v>2017</v>
      </c>
      <c r="I25" s="8">
        <f t="shared" si="2"/>
        <v>2018</v>
      </c>
      <c r="J25" s="8">
        <f t="shared" si="2"/>
        <v>2019</v>
      </c>
      <c r="K25" s="8">
        <f t="shared" si="2"/>
        <v>2020</v>
      </c>
      <c r="L25" s="8">
        <f t="shared" si="2"/>
        <v>2021</v>
      </c>
      <c r="M25" s="8">
        <f t="shared" si="2"/>
        <v>2022</v>
      </c>
      <c r="N25" s="8">
        <f t="shared" si="2"/>
        <v>2023</v>
      </c>
      <c r="O25" s="8">
        <f t="shared" si="2"/>
        <v>2024</v>
      </c>
      <c r="P25" s="8">
        <f t="shared" si="2"/>
        <v>2025</v>
      </c>
      <c r="Q25" s="8">
        <f t="shared" si="2"/>
        <v>2026</v>
      </c>
      <c r="R25" s="8">
        <f t="shared" si="2"/>
        <v>2027</v>
      </c>
      <c r="S25" s="8">
        <f t="shared" si="2"/>
        <v>2028</v>
      </c>
      <c r="T25" s="8">
        <f t="shared" si="2"/>
        <v>2029</v>
      </c>
      <c r="U25" s="8">
        <f t="shared" si="2"/>
        <v>2030</v>
      </c>
      <c r="V25" s="114">
        <f t="shared" si="2"/>
        <v>2031</v>
      </c>
      <c r="W25" s="227"/>
    </row>
    <row r="26" spans="1:23" ht="17.25">
      <c r="A26" s="152" t="s">
        <v>427</v>
      </c>
      <c r="B26" s="170"/>
      <c r="C26" s="329"/>
      <c r="D26" s="329"/>
      <c r="E26" s="329"/>
      <c r="F26" s="329"/>
      <c r="G26" s="329"/>
      <c r="H26" s="329"/>
      <c r="I26" s="326"/>
      <c r="J26" s="326"/>
      <c r="K26" s="326"/>
      <c r="L26" s="326"/>
      <c r="M26" s="326"/>
      <c r="N26" s="326"/>
      <c r="O26" s="326"/>
      <c r="P26" s="326"/>
      <c r="Q26" s="326"/>
      <c r="R26" s="326"/>
      <c r="S26" s="326"/>
      <c r="T26" s="326"/>
      <c r="U26" s="326"/>
      <c r="V26" s="610"/>
      <c r="W26" s="227"/>
    </row>
    <row r="27" spans="1:23" ht="15" customHeight="1">
      <c r="A27" s="154" t="s">
        <v>428</v>
      </c>
      <c r="B27" s="236">
        <f>Entrada!$J$98*12*'F2'!B37</f>
        <v>55611.72</v>
      </c>
      <c r="C27" s="236">
        <f>Entrada!$J$98*12*'F2'!C37</f>
        <v>56233.08</v>
      </c>
      <c r="D27" s="236">
        <f>Entrada!$J$98*12*'F2'!D37</f>
        <v>56958</v>
      </c>
      <c r="E27" s="236">
        <f>Entrada!$J$98*12*'F2'!E37</f>
        <v>57579.36</v>
      </c>
      <c r="F27" s="236">
        <f>Entrada!$J$98*12*'F2'!F37</f>
        <v>58304.28</v>
      </c>
      <c r="G27" s="236">
        <f>Entrada!$J$98*12*'F2'!G37</f>
        <v>58822.08</v>
      </c>
      <c r="H27" s="236">
        <f>Entrada!$J$98*12*'F2'!H37</f>
        <v>59547</v>
      </c>
      <c r="I27" s="236">
        <f>Entrada!$J$98*12*'F2'!I37</f>
        <v>60271.92</v>
      </c>
      <c r="J27" s="236">
        <f>Entrada!$J$98*12*'F2'!J37</f>
        <v>60996.840000000004</v>
      </c>
      <c r="K27" s="236">
        <f>Entrada!$J$98*12*'F2'!K37</f>
        <v>61721.76</v>
      </c>
      <c r="L27" s="236">
        <f>Entrada!$J$98*12*'F2'!L37</f>
        <v>62446.68</v>
      </c>
      <c r="M27" s="236">
        <f>Entrada!$J$98*12*'F2'!M37</f>
        <v>63171.6</v>
      </c>
      <c r="N27" s="236">
        <f>Entrada!$J$98*12*'F2'!N37</f>
        <v>63896.520000000004</v>
      </c>
      <c r="O27" s="236">
        <f>Entrada!$J$98*12*'F2'!O37</f>
        <v>64621.44</v>
      </c>
      <c r="P27" s="236">
        <f>Entrada!$J$98*12*'F2'!P37</f>
        <v>65346.36</v>
      </c>
      <c r="Q27" s="236">
        <f>Entrada!$J$98*12*'F2'!Q37</f>
        <v>66071.28</v>
      </c>
      <c r="R27" s="236">
        <f>Entrada!$J$98*12*'F2'!R37</f>
        <v>66899.76</v>
      </c>
      <c r="S27" s="236">
        <f>Entrada!$J$98*12*'F2'!S37</f>
        <v>67624.68000000001</v>
      </c>
      <c r="T27" s="236">
        <f>Entrada!$J$98*12*'F2'!T37</f>
        <v>68453.16</v>
      </c>
      <c r="U27" s="236">
        <f>Entrada!$J$98*12*'F2'!U37</f>
        <v>69281.64</v>
      </c>
      <c r="V27" s="237">
        <f>Entrada!$J$98*12*'F2'!V37</f>
        <v>70110.12</v>
      </c>
      <c r="W27" s="100"/>
    </row>
    <row r="28" spans="1:23" ht="15" customHeight="1">
      <c r="A28" s="154" t="s">
        <v>430</v>
      </c>
      <c r="B28" s="236">
        <f>IF(ModUG="",0,Entrada!$J$102*12*SUM('F2'!B38:B40))</f>
        <v>1521.7199999999998</v>
      </c>
      <c r="C28" s="236">
        <f>IF(ModUG="",0,Entrada!$J$102*12*SUM('F2'!C38:C40))</f>
        <v>1521.7199999999998</v>
      </c>
      <c r="D28" s="236">
        <f>IF(ModUG="",0,Entrada!$J$102*12*SUM('F2'!D38:D40))</f>
        <v>1521.7199999999998</v>
      </c>
      <c r="E28" s="236">
        <f>IF(ModUG="",0,Entrada!$J$102*12*SUM('F2'!E38:E40))</f>
        <v>1521.7199999999998</v>
      </c>
      <c r="F28" s="236">
        <f>IF(ModUG="",0,Entrada!$J$102*12*SUM('F2'!F38:F40))</f>
        <v>1521.7199999999998</v>
      </c>
      <c r="G28" s="236">
        <f>IF(ModUG="",0,Entrada!$J$102*12*SUM('F2'!G38:G40))</f>
        <v>1690.7999999999997</v>
      </c>
      <c r="H28" s="236">
        <f>IF(ModUG="",0,Entrada!$J$102*12*SUM('F2'!H38:H40))</f>
        <v>1690.7999999999997</v>
      </c>
      <c r="I28" s="236">
        <f>IF(ModUG="",0,Entrada!$J$102*12*SUM('F2'!I38:I40))</f>
        <v>1690.7999999999997</v>
      </c>
      <c r="J28" s="236">
        <f>IF(ModUG="",0,Entrada!$J$102*12*SUM('F2'!J38:J40))</f>
        <v>1690.7999999999997</v>
      </c>
      <c r="K28" s="236">
        <f>IF(ModUG="",0,Entrada!$J$102*12*SUM('F2'!K38:K40))</f>
        <v>1690.7999999999997</v>
      </c>
      <c r="L28" s="236">
        <f>IF(ModUG="",0,Entrada!$J$102*12*SUM('F2'!L38:L40))</f>
        <v>1690.7999999999997</v>
      </c>
      <c r="M28" s="236">
        <f>IF(ModUG="",0,Entrada!$J$102*12*SUM('F2'!M38:M40))</f>
        <v>1690.7999999999997</v>
      </c>
      <c r="N28" s="236">
        <f>IF(ModUG="",0,Entrada!$J$102*12*SUM('F2'!N38:N40))</f>
        <v>1690.7999999999997</v>
      </c>
      <c r="O28" s="236">
        <f>IF(ModUG="",0,Entrada!$J$102*12*SUM('F2'!O38:O40))</f>
        <v>1690.7999999999997</v>
      </c>
      <c r="P28" s="236">
        <f>IF(ModUG="",0,Entrada!$J$102*12*SUM('F2'!P38:P40))</f>
        <v>1859.8799999999999</v>
      </c>
      <c r="Q28" s="236">
        <f>IF(ModUG="",0,Entrada!$J$102*12*SUM('F2'!Q38:Q40))</f>
        <v>1859.8799999999999</v>
      </c>
      <c r="R28" s="236">
        <f>IF(ModUG="",0,Entrada!$J$102*12*SUM('F2'!R38:R40))</f>
        <v>1859.8799999999999</v>
      </c>
      <c r="S28" s="236">
        <f>IF(ModUG="",0,Entrada!$J$102*12*SUM('F2'!S38:S40))</f>
        <v>1859.8799999999999</v>
      </c>
      <c r="T28" s="236">
        <f>IF(ModUG="",0,Entrada!$J$102*12*SUM('F2'!T38:T40))</f>
        <v>1859.8799999999999</v>
      </c>
      <c r="U28" s="236">
        <f>IF(ModUG="",0,Entrada!$J$102*12*SUM('F2'!U38:U40))</f>
        <v>1859.8799999999999</v>
      </c>
      <c r="V28" s="237">
        <f>IF(ModUG="",0,Entrada!$J$102*12*SUM('F2'!V38:V40))</f>
        <v>1859.8799999999999</v>
      </c>
      <c r="W28" s="63"/>
    </row>
    <row r="29" spans="1:23" ht="15">
      <c r="A29" s="152" t="s">
        <v>429</v>
      </c>
      <c r="B29" s="275">
        <f>+B28+B27</f>
        <v>57133.44</v>
      </c>
      <c r="C29" s="275">
        <f aca="true" t="shared" si="3" ref="C29:V29">+C28+C27</f>
        <v>57754.8</v>
      </c>
      <c r="D29" s="275">
        <f t="shared" si="3"/>
        <v>58479.72</v>
      </c>
      <c r="E29" s="275">
        <f t="shared" si="3"/>
        <v>59101.08</v>
      </c>
      <c r="F29" s="275">
        <f t="shared" si="3"/>
        <v>59826</v>
      </c>
      <c r="G29" s="275">
        <f t="shared" si="3"/>
        <v>60512.880000000005</v>
      </c>
      <c r="H29" s="275">
        <f t="shared" si="3"/>
        <v>61237.8</v>
      </c>
      <c r="I29" s="275">
        <f t="shared" si="3"/>
        <v>61962.72</v>
      </c>
      <c r="J29" s="275">
        <f t="shared" si="3"/>
        <v>62687.64000000001</v>
      </c>
      <c r="K29" s="275">
        <f t="shared" si="3"/>
        <v>63412.560000000005</v>
      </c>
      <c r="L29" s="275">
        <f t="shared" si="3"/>
        <v>64137.48</v>
      </c>
      <c r="M29" s="275">
        <f t="shared" si="3"/>
        <v>64862.4</v>
      </c>
      <c r="N29" s="275">
        <f t="shared" si="3"/>
        <v>65587.32</v>
      </c>
      <c r="O29" s="275">
        <f t="shared" si="3"/>
        <v>66312.24</v>
      </c>
      <c r="P29" s="275">
        <f t="shared" si="3"/>
        <v>67206.24</v>
      </c>
      <c r="Q29" s="275">
        <f t="shared" si="3"/>
        <v>67931.16</v>
      </c>
      <c r="R29" s="275">
        <f t="shared" si="3"/>
        <v>68759.64</v>
      </c>
      <c r="S29" s="275">
        <f t="shared" si="3"/>
        <v>69484.56000000001</v>
      </c>
      <c r="T29" s="275">
        <f t="shared" si="3"/>
        <v>70313.04000000001</v>
      </c>
      <c r="U29" s="275">
        <f t="shared" si="3"/>
        <v>71141.52</v>
      </c>
      <c r="V29" s="276">
        <f t="shared" si="3"/>
        <v>71970</v>
      </c>
      <c r="W29" s="227"/>
    </row>
    <row r="30" spans="1:23" ht="15">
      <c r="A30" s="328" t="s">
        <v>426</v>
      </c>
      <c r="B30" s="170"/>
      <c r="C30" s="329"/>
      <c r="D30" s="329"/>
      <c r="E30" s="329"/>
      <c r="F30" s="329"/>
      <c r="G30" s="329"/>
      <c r="H30" s="329"/>
      <c r="I30" s="326"/>
      <c r="J30" s="326"/>
      <c r="K30" s="326"/>
      <c r="L30" s="326"/>
      <c r="M30" s="326"/>
      <c r="N30" s="326"/>
      <c r="O30" s="326"/>
      <c r="P30" s="326"/>
      <c r="Q30" s="326"/>
      <c r="R30" s="326"/>
      <c r="S30" s="326"/>
      <c r="T30" s="326"/>
      <c r="U30" s="326"/>
      <c r="V30" s="610"/>
      <c r="W30" s="227"/>
    </row>
    <row r="31" spans="1:23" ht="15.75" thickBot="1">
      <c r="A31" s="650"/>
      <c r="B31" s="286"/>
      <c r="C31" s="651"/>
      <c r="D31" s="651"/>
      <c r="E31" s="651"/>
      <c r="F31" s="651"/>
      <c r="G31" s="651"/>
      <c r="H31" s="651"/>
      <c r="I31" s="577"/>
      <c r="J31" s="577"/>
      <c r="K31" s="577"/>
      <c r="L31" s="577"/>
      <c r="M31" s="577"/>
      <c r="N31" s="577"/>
      <c r="O31" s="577"/>
      <c r="P31" s="577"/>
      <c r="Q31" s="577"/>
      <c r="R31" s="577"/>
      <c r="S31" s="577"/>
      <c r="T31" s="577"/>
      <c r="U31" s="577"/>
      <c r="V31" s="652"/>
      <c r="W31" s="227"/>
    </row>
    <row r="35" spans="2:13" ht="33.75">
      <c r="B35" s="653" t="s">
        <v>410</v>
      </c>
      <c r="C35" s="653" t="s">
        <v>411</v>
      </c>
      <c r="D35" s="654" t="s">
        <v>418</v>
      </c>
      <c r="E35" s="655" t="s">
        <v>419</v>
      </c>
      <c r="F35" s="655" t="s">
        <v>417</v>
      </c>
      <c r="G35" s="654" t="s">
        <v>418</v>
      </c>
      <c r="H35" s="654" t="s">
        <v>422</v>
      </c>
      <c r="I35" s="654" t="s">
        <v>421</v>
      </c>
      <c r="J35" s="654" t="s">
        <v>420</v>
      </c>
      <c r="K35" s="654" t="s">
        <v>422</v>
      </c>
      <c r="L35" s="654" t="s">
        <v>406</v>
      </c>
      <c r="M35" s="656" t="s">
        <v>423</v>
      </c>
    </row>
    <row r="36" spans="2:13" ht="15">
      <c r="B36" s="654"/>
      <c r="C36" s="654"/>
      <c r="D36" s="654"/>
      <c r="E36" s="654"/>
      <c r="F36" s="654"/>
      <c r="G36" s="657"/>
      <c r="H36" s="657"/>
      <c r="I36" s="657"/>
      <c r="J36" s="657"/>
      <c r="K36" s="657"/>
      <c r="L36" s="657"/>
      <c r="M36" s="657"/>
    </row>
    <row r="37" spans="2:13" ht="15">
      <c r="B37" s="653" t="s">
        <v>126</v>
      </c>
      <c r="C37" s="653" t="s">
        <v>464</v>
      </c>
      <c r="D37" s="654">
        <v>70</v>
      </c>
      <c r="E37" s="653" t="str">
        <f aca="true" t="shared" si="4" ref="E37:E51">B37&amp;D37</f>
        <v>Costa70</v>
      </c>
      <c r="F37" s="653">
        <v>7.75</v>
      </c>
      <c r="G37" s="654">
        <v>70</v>
      </c>
      <c r="H37" s="658">
        <v>1</v>
      </c>
      <c r="I37" s="658">
        <v>10</v>
      </c>
      <c r="J37" s="658">
        <v>150</v>
      </c>
      <c r="K37" s="657"/>
      <c r="L37" s="657"/>
      <c r="M37" s="658">
        <v>1</v>
      </c>
    </row>
    <row r="38" spans="2:13" ht="23.25">
      <c r="B38" s="653" t="s">
        <v>126</v>
      </c>
      <c r="C38" s="653" t="s">
        <v>465</v>
      </c>
      <c r="D38" s="654">
        <v>100</v>
      </c>
      <c r="E38" s="653" t="str">
        <f t="shared" si="4"/>
        <v>Costa100</v>
      </c>
      <c r="F38" s="653">
        <v>10.36</v>
      </c>
      <c r="G38" s="654">
        <v>100</v>
      </c>
      <c r="H38" s="658">
        <v>1</v>
      </c>
      <c r="I38" s="658">
        <v>10</v>
      </c>
      <c r="J38" s="658">
        <v>150</v>
      </c>
      <c r="K38" s="657"/>
      <c r="L38" s="657"/>
      <c r="M38" s="658">
        <v>1</v>
      </c>
    </row>
    <row r="39" spans="2:13" ht="23.25">
      <c r="B39" s="653" t="s">
        <v>126</v>
      </c>
      <c r="C39" s="653" t="s">
        <v>412</v>
      </c>
      <c r="D39" s="654">
        <v>160</v>
      </c>
      <c r="E39" s="653" t="str">
        <f t="shared" si="4"/>
        <v>Costa160</v>
      </c>
      <c r="F39" s="653">
        <v>16.92</v>
      </c>
      <c r="G39" s="654">
        <v>80</v>
      </c>
      <c r="H39" s="658">
        <v>2</v>
      </c>
      <c r="I39" s="658">
        <v>20</v>
      </c>
      <c r="J39" s="658">
        <v>150</v>
      </c>
      <c r="K39" s="658">
        <v>2</v>
      </c>
      <c r="L39" s="658">
        <v>300</v>
      </c>
      <c r="M39" s="658">
        <v>1</v>
      </c>
    </row>
    <row r="40" spans="2:13" ht="23.25">
      <c r="B40" s="653" t="s">
        <v>126</v>
      </c>
      <c r="C40" s="653" t="s">
        <v>413</v>
      </c>
      <c r="D40" s="654">
        <v>240</v>
      </c>
      <c r="E40" s="653" t="str">
        <f t="shared" si="4"/>
        <v>Costa240</v>
      </c>
      <c r="F40" s="653">
        <v>25.37</v>
      </c>
      <c r="G40" s="654">
        <v>80</v>
      </c>
      <c r="H40" s="658">
        <v>3</v>
      </c>
      <c r="I40" s="658">
        <v>30</v>
      </c>
      <c r="J40" s="658">
        <v>150</v>
      </c>
      <c r="K40" s="658">
        <v>2</v>
      </c>
      <c r="L40" s="658">
        <v>400</v>
      </c>
      <c r="M40" s="658">
        <v>2</v>
      </c>
    </row>
    <row r="41" spans="2:13" ht="23.25">
      <c r="B41" s="653" t="s">
        <v>126</v>
      </c>
      <c r="C41" s="653" t="s">
        <v>414</v>
      </c>
      <c r="D41" s="654">
        <v>320</v>
      </c>
      <c r="E41" s="653" t="str">
        <f t="shared" si="4"/>
        <v>Costa320</v>
      </c>
      <c r="F41" s="653">
        <v>33.83</v>
      </c>
      <c r="G41" s="654">
        <v>80</v>
      </c>
      <c r="H41" s="658">
        <v>4</v>
      </c>
      <c r="I41" s="658">
        <v>40</v>
      </c>
      <c r="J41" s="658">
        <v>200</v>
      </c>
      <c r="K41" s="658">
        <v>2</v>
      </c>
      <c r="L41" s="658">
        <v>500</v>
      </c>
      <c r="M41" s="658">
        <v>2</v>
      </c>
    </row>
    <row r="42" spans="2:13" ht="23.25">
      <c r="B42" s="653" t="s">
        <v>127</v>
      </c>
      <c r="C42" s="653" t="s">
        <v>464</v>
      </c>
      <c r="D42" s="654">
        <v>70</v>
      </c>
      <c r="E42" s="653" t="str">
        <f t="shared" si="4"/>
        <v>Sierra70</v>
      </c>
      <c r="F42" s="653">
        <v>8.06</v>
      </c>
      <c r="G42" s="654">
        <v>70</v>
      </c>
      <c r="H42" s="658">
        <v>1</v>
      </c>
      <c r="I42" s="658">
        <v>10</v>
      </c>
      <c r="J42" s="658">
        <v>150</v>
      </c>
      <c r="K42" s="657"/>
      <c r="L42" s="657"/>
      <c r="M42" s="658">
        <v>1</v>
      </c>
    </row>
    <row r="43" spans="2:13" ht="23.25">
      <c r="B43" s="653" t="s">
        <v>127</v>
      </c>
      <c r="C43" s="653" t="s">
        <v>465</v>
      </c>
      <c r="D43" s="654">
        <v>100</v>
      </c>
      <c r="E43" s="653" t="str">
        <f t="shared" si="4"/>
        <v>Sierra100</v>
      </c>
      <c r="F43" s="653">
        <v>10.77</v>
      </c>
      <c r="G43" s="654">
        <v>100</v>
      </c>
      <c r="H43" s="658">
        <v>1</v>
      </c>
      <c r="I43" s="658">
        <v>10</v>
      </c>
      <c r="J43" s="658">
        <v>150</v>
      </c>
      <c r="K43" s="657"/>
      <c r="L43" s="657"/>
      <c r="M43" s="658">
        <v>1</v>
      </c>
    </row>
    <row r="44" spans="2:13" ht="23.25">
      <c r="B44" s="653" t="s">
        <v>127</v>
      </c>
      <c r="C44" s="653" t="s">
        <v>412</v>
      </c>
      <c r="D44" s="654">
        <v>160</v>
      </c>
      <c r="E44" s="653" t="str">
        <f t="shared" si="4"/>
        <v>Sierra160</v>
      </c>
      <c r="F44" s="653">
        <v>17.59</v>
      </c>
      <c r="G44" s="654">
        <v>80</v>
      </c>
      <c r="H44" s="658">
        <v>2</v>
      </c>
      <c r="I44" s="658">
        <v>20</v>
      </c>
      <c r="J44" s="658">
        <v>150</v>
      </c>
      <c r="K44" s="658">
        <v>2</v>
      </c>
      <c r="L44" s="658">
        <v>300</v>
      </c>
      <c r="M44" s="658">
        <v>1</v>
      </c>
    </row>
    <row r="45" spans="2:13" ht="23.25">
      <c r="B45" s="653" t="s">
        <v>127</v>
      </c>
      <c r="C45" s="653" t="s">
        <v>413</v>
      </c>
      <c r="D45" s="654">
        <v>240</v>
      </c>
      <c r="E45" s="653" t="str">
        <f t="shared" si="4"/>
        <v>Sierra240</v>
      </c>
      <c r="F45" s="653">
        <v>26.39</v>
      </c>
      <c r="G45" s="654">
        <v>80</v>
      </c>
      <c r="H45" s="658">
        <v>3</v>
      </c>
      <c r="I45" s="658">
        <v>30</v>
      </c>
      <c r="J45" s="658">
        <v>150</v>
      </c>
      <c r="K45" s="658">
        <v>2</v>
      </c>
      <c r="L45" s="658">
        <v>400</v>
      </c>
      <c r="M45" s="658">
        <v>2</v>
      </c>
    </row>
    <row r="46" spans="2:13" ht="23.25">
      <c r="B46" s="653" t="s">
        <v>127</v>
      </c>
      <c r="C46" s="653" t="s">
        <v>414</v>
      </c>
      <c r="D46" s="654">
        <v>320</v>
      </c>
      <c r="E46" s="653" t="str">
        <f t="shared" si="4"/>
        <v>Sierra320</v>
      </c>
      <c r="F46" s="653">
        <v>35.18</v>
      </c>
      <c r="G46" s="654">
        <v>80</v>
      </c>
      <c r="H46" s="658">
        <v>4</v>
      </c>
      <c r="I46" s="658">
        <v>40</v>
      </c>
      <c r="J46" s="658">
        <v>200</v>
      </c>
      <c r="K46" s="658">
        <v>2</v>
      </c>
      <c r="L46" s="658">
        <v>500</v>
      </c>
      <c r="M46" s="658">
        <v>2</v>
      </c>
    </row>
    <row r="47" spans="2:13" ht="15">
      <c r="B47" s="653" t="s">
        <v>128</v>
      </c>
      <c r="C47" s="653" t="s">
        <v>464</v>
      </c>
      <c r="D47" s="654">
        <v>70</v>
      </c>
      <c r="E47" s="653" t="str">
        <f t="shared" si="4"/>
        <v>Selva70</v>
      </c>
      <c r="F47" s="653">
        <v>6.46</v>
      </c>
      <c r="G47" s="654">
        <v>70</v>
      </c>
      <c r="H47" s="658">
        <v>1</v>
      </c>
      <c r="I47" s="658">
        <v>10</v>
      </c>
      <c r="J47" s="658">
        <v>150</v>
      </c>
      <c r="K47" s="657"/>
      <c r="L47" s="657"/>
      <c r="M47" s="658">
        <v>1</v>
      </c>
    </row>
    <row r="48" spans="2:13" ht="23.25">
      <c r="B48" s="653" t="s">
        <v>128</v>
      </c>
      <c r="C48" s="653" t="s">
        <v>465</v>
      </c>
      <c r="D48" s="654">
        <v>100</v>
      </c>
      <c r="E48" s="653" t="str">
        <f t="shared" si="4"/>
        <v>Selva100</v>
      </c>
      <c r="F48" s="653">
        <v>8.63</v>
      </c>
      <c r="G48" s="654">
        <v>100</v>
      </c>
      <c r="H48" s="658">
        <v>1</v>
      </c>
      <c r="I48" s="658">
        <v>10</v>
      </c>
      <c r="J48" s="658">
        <v>150</v>
      </c>
      <c r="K48" s="657"/>
      <c r="L48" s="657"/>
      <c r="M48" s="658">
        <v>1</v>
      </c>
    </row>
    <row r="49" spans="2:13" ht="23.25">
      <c r="B49" s="653" t="s">
        <v>128</v>
      </c>
      <c r="C49" s="653" t="s">
        <v>412</v>
      </c>
      <c r="D49" s="654">
        <v>160</v>
      </c>
      <c r="E49" s="653" t="str">
        <f t="shared" si="4"/>
        <v>Selva160</v>
      </c>
      <c r="F49" s="653">
        <v>14.09</v>
      </c>
      <c r="G49" s="654">
        <v>80</v>
      </c>
      <c r="H49" s="658">
        <v>2</v>
      </c>
      <c r="I49" s="658">
        <v>20</v>
      </c>
      <c r="J49" s="658">
        <v>150</v>
      </c>
      <c r="K49" s="658">
        <v>2</v>
      </c>
      <c r="L49" s="658">
        <v>300</v>
      </c>
      <c r="M49" s="658">
        <v>1</v>
      </c>
    </row>
    <row r="50" spans="2:13" ht="23.25">
      <c r="B50" s="653" t="s">
        <v>128</v>
      </c>
      <c r="C50" s="653" t="s">
        <v>413</v>
      </c>
      <c r="D50" s="654">
        <v>240</v>
      </c>
      <c r="E50" s="653" t="str">
        <f t="shared" si="4"/>
        <v>Selva240</v>
      </c>
      <c r="F50" s="653">
        <v>21.13</v>
      </c>
      <c r="G50" s="654">
        <v>80</v>
      </c>
      <c r="H50" s="658">
        <v>3</v>
      </c>
      <c r="I50" s="658">
        <v>30</v>
      </c>
      <c r="J50" s="658">
        <v>150</v>
      </c>
      <c r="K50" s="658">
        <v>2</v>
      </c>
      <c r="L50" s="658">
        <v>400</v>
      </c>
      <c r="M50" s="658">
        <v>2</v>
      </c>
    </row>
    <row r="51" spans="2:13" ht="23.25">
      <c r="B51" s="653" t="s">
        <v>128</v>
      </c>
      <c r="C51" s="653" t="s">
        <v>414</v>
      </c>
      <c r="D51" s="654">
        <v>320</v>
      </c>
      <c r="E51" s="653" t="str">
        <f t="shared" si="4"/>
        <v>Selva320</v>
      </c>
      <c r="F51" s="653">
        <v>28.17</v>
      </c>
      <c r="G51" s="654">
        <v>80</v>
      </c>
      <c r="H51" s="658">
        <v>4</v>
      </c>
      <c r="I51" s="658">
        <v>40</v>
      </c>
      <c r="J51" s="658">
        <v>200</v>
      </c>
      <c r="K51" s="658">
        <v>2</v>
      </c>
      <c r="L51" s="658">
        <v>500</v>
      </c>
      <c r="M51" s="658">
        <v>2</v>
      </c>
    </row>
  </sheetData>
  <sheetProtection/>
  <mergeCells count="7">
    <mergeCell ref="A24:A25"/>
    <mergeCell ref="A2:V2"/>
    <mergeCell ref="A3:V3"/>
    <mergeCell ref="A7:U7"/>
    <mergeCell ref="A13:V13"/>
    <mergeCell ref="A14:A15"/>
    <mergeCell ref="A23:V23"/>
  </mergeCells>
  <printOptions horizontalCentered="1" verticalCentered="1"/>
  <pageMargins left="0.4724409448818898" right="0.4330708661417323" top="1.1811023622047245" bottom="0.7480314960629921" header="0.31496062992125984" footer="0.31496062992125984"/>
  <pageSetup fitToHeight="1" fitToWidth="1" horizontalDpi="600" verticalDpi="600" orientation="landscape" paperSize="9" scale="73" r:id="rId2"/>
  <drawing r:id="rId1"/>
</worksheet>
</file>

<file path=xl/worksheets/sheet8.xml><?xml version="1.0" encoding="utf-8"?>
<worksheet xmlns="http://schemas.openxmlformats.org/spreadsheetml/2006/main" xmlns:r="http://schemas.openxmlformats.org/officeDocument/2006/relationships">
  <sheetPr codeName="Hoja22">
    <pageSetUpPr fitToPage="1"/>
  </sheetPr>
  <dimension ref="A1:W35"/>
  <sheetViews>
    <sheetView showGridLines="0" showZeros="0" zoomScaleSheetLayoutView="100" zoomScalePageLayoutView="0" workbookViewId="0" topLeftCell="A1">
      <pane ySplit="3" topLeftCell="A13" activePane="bottomLeft" state="frozen"/>
      <selection pane="topLeft" activeCell="K132" sqref="K132"/>
      <selection pane="bottomLeft" activeCell="V12" sqref="V12"/>
    </sheetView>
  </sheetViews>
  <sheetFormatPr defaultColWidth="11.421875" defaultRowHeight="15"/>
  <cols>
    <col min="1" max="1" width="22.140625" style="234" customWidth="1"/>
    <col min="2" max="2" width="10.421875" style="234" customWidth="1"/>
    <col min="3" max="3" width="9.00390625" style="234" customWidth="1"/>
    <col min="4" max="4" width="8.421875" style="234" customWidth="1"/>
    <col min="5" max="22" width="7.421875" style="234" bestFit="1" customWidth="1"/>
    <col min="23" max="16384" width="11.421875" style="234" customWidth="1"/>
  </cols>
  <sheetData>
    <row r="1" spans="1:23" ht="28.5" customHeight="1" thickBot="1">
      <c r="A1" s="540"/>
      <c r="B1" s="540"/>
      <c r="C1" s="540"/>
      <c r="D1" s="540"/>
      <c r="E1" s="540"/>
      <c r="F1" s="540"/>
      <c r="G1" s="540"/>
      <c r="H1" s="540"/>
      <c r="I1" s="540"/>
      <c r="J1" s="540"/>
      <c r="K1" s="540"/>
      <c r="L1" s="540"/>
      <c r="M1" s="540"/>
      <c r="N1" s="540"/>
      <c r="O1" s="540"/>
      <c r="P1" s="540"/>
      <c r="Q1" s="540"/>
      <c r="R1" s="540"/>
      <c r="S1" s="540"/>
      <c r="T1" s="540"/>
      <c r="U1" s="540"/>
      <c r="V1" s="540"/>
      <c r="W1" s="540"/>
    </row>
    <row r="2" spans="1:23" ht="15" customHeight="1">
      <c r="A2" s="846" t="s">
        <v>125</v>
      </c>
      <c r="B2" s="847"/>
      <c r="C2" s="847"/>
      <c r="D2" s="847"/>
      <c r="E2" s="847"/>
      <c r="F2" s="847"/>
      <c r="G2" s="847"/>
      <c r="H2" s="847"/>
      <c r="I2" s="847"/>
      <c r="J2" s="847"/>
      <c r="K2" s="847"/>
      <c r="L2" s="847"/>
      <c r="M2" s="847"/>
      <c r="N2" s="847"/>
      <c r="O2" s="847"/>
      <c r="P2" s="847"/>
      <c r="Q2" s="847"/>
      <c r="R2" s="847"/>
      <c r="S2" s="847"/>
      <c r="T2" s="847"/>
      <c r="U2" s="847"/>
      <c r="V2" s="848"/>
      <c r="W2" s="540"/>
    </row>
    <row r="3" spans="1:23" ht="15.75">
      <c r="A3" s="864" t="s">
        <v>337</v>
      </c>
      <c r="B3" s="865"/>
      <c r="C3" s="865"/>
      <c r="D3" s="865"/>
      <c r="E3" s="865"/>
      <c r="F3" s="865"/>
      <c r="G3" s="865"/>
      <c r="H3" s="865"/>
      <c r="I3" s="865"/>
      <c r="J3" s="865"/>
      <c r="K3" s="865"/>
      <c r="L3" s="865"/>
      <c r="M3" s="865"/>
      <c r="N3" s="865"/>
      <c r="O3" s="865"/>
      <c r="P3" s="865"/>
      <c r="Q3" s="865"/>
      <c r="R3" s="865"/>
      <c r="S3" s="865"/>
      <c r="T3" s="865"/>
      <c r="U3" s="865"/>
      <c r="V3" s="866"/>
      <c r="W3" s="540"/>
    </row>
    <row r="4" spans="1:23" ht="39" customHeight="1">
      <c r="A4" s="328" t="s">
        <v>207</v>
      </c>
      <c r="B4" s="329"/>
      <c r="C4" s="608"/>
      <c r="D4" s="608"/>
      <c r="E4" s="608"/>
      <c r="F4" s="608"/>
      <c r="G4" s="608"/>
      <c r="H4" s="608"/>
      <c r="I4" s="608"/>
      <c r="J4" s="608"/>
      <c r="K4" s="608"/>
      <c r="L4" s="608"/>
      <c r="M4" s="608"/>
      <c r="N4" s="608"/>
      <c r="O4" s="608"/>
      <c r="P4" s="608"/>
      <c r="Q4" s="608"/>
      <c r="R4" s="608"/>
      <c r="S4" s="608"/>
      <c r="T4" s="608"/>
      <c r="U4" s="608"/>
      <c r="V4" s="609"/>
      <c r="W4" s="540"/>
    </row>
    <row r="5" spans="1:23" ht="15">
      <c r="A5" s="325"/>
      <c r="B5" s="326"/>
      <c r="C5" s="326"/>
      <c r="D5" s="326"/>
      <c r="E5" s="326"/>
      <c r="F5" s="326"/>
      <c r="G5" s="326"/>
      <c r="H5" s="326"/>
      <c r="I5" s="326"/>
      <c r="J5" s="326"/>
      <c r="K5" s="326"/>
      <c r="L5" s="326"/>
      <c r="M5" s="326"/>
      <c r="N5" s="326"/>
      <c r="O5" s="326"/>
      <c r="P5" s="326"/>
      <c r="Q5" s="326"/>
      <c r="R5" s="326"/>
      <c r="S5" s="326"/>
      <c r="T5" s="326"/>
      <c r="U5" s="326"/>
      <c r="V5" s="610"/>
      <c r="W5" s="540"/>
    </row>
    <row r="6" spans="1:23" ht="15">
      <c r="A6" s="859" t="s">
        <v>92</v>
      </c>
      <c r="B6" s="860"/>
      <c r="C6" s="860"/>
      <c r="D6" s="860"/>
      <c r="E6" s="860"/>
      <c r="F6" s="860"/>
      <c r="G6" s="860"/>
      <c r="H6" s="860"/>
      <c r="I6" s="860"/>
      <c r="J6" s="860"/>
      <c r="K6" s="860"/>
      <c r="L6" s="860"/>
      <c r="M6" s="860"/>
      <c r="N6" s="860"/>
      <c r="O6" s="860"/>
      <c r="P6" s="860"/>
      <c r="Q6" s="860"/>
      <c r="R6" s="860"/>
      <c r="S6" s="860"/>
      <c r="T6" s="860"/>
      <c r="U6" s="860"/>
      <c r="V6" s="861"/>
      <c r="W6" s="611"/>
    </row>
    <row r="7" spans="1:23" ht="15">
      <c r="A7" s="857" t="s">
        <v>117</v>
      </c>
      <c r="B7" s="8">
        <v>0</v>
      </c>
      <c r="C7" s="8">
        <v>1</v>
      </c>
      <c r="D7" s="8">
        <v>2</v>
      </c>
      <c r="E7" s="8">
        <v>3</v>
      </c>
      <c r="F7" s="8">
        <v>4</v>
      </c>
      <c r="G7" s="8">
        <v>5</v>
      </c>
      <c r="H7" s="8">
        <v>6</v>
      </c>
      <c r="I7" s="8">
        <v>7</v>
      </c>
      <c r="J7" s="8">
        <v>8</v>
      </c>
      <c r="K7" s="8">
        <v>9</v>
      </c>
      <c r="L7" s="8">
        <v>10</v>
      </c>
      <c r="M7" s="8">
        <v>11</v>
      </c>
      <c r="N7" s="8">
        <v>12</v>
      </c>
      <c r="O7" s="8">
        <v>13</v>
      </c>
      <c r="P7" s="8">
        <v>14</v>
      </c>
      <c r="Q7" s="8">
        <v>15</v>
      </c>
      <c r="R7" s="8">
        <v>16</v>
      </c>
      <c r="S7" s="8">
        <v>17</v>
      </c>
      <c r="T7" s="8">
        <v>18</v>
      </c>
      <c r="U7" s="8">
        <v>19</v>
      </c>
      <c r="V7" s="114">
        <v>20</v>
      </c>
      <c r="W7" s="611"/>
    </row>
    <row r="8" spans="1:23" ht="15">
      <c r="A8" s="858"/>
      <c r="B8" s="8">
        <f>'F2'!C8</f>
        <v>2011</v>
      </c>
      <c r="C8" s="8">
        <f>+B8+1</f>
        <v>2012</v>
      </c>
      <c r="D8" s="8">
        <f aca="true" t="shared" si="0" ref="D8:V8">+C8+1</f>
        <v>2013</v>
      </c>
      <c r="E8" s="8">
        <f t="shared" si="0"/>
        <v>2014</v>
      </c>
      <c r="F8" s="8">
        <f t="shared" si="0"/>
        <v>2015</v>
      </c>
      <c r="G8" s="8">
        <f t="shared" si="0"/>
        <v>2016</v>
      </c>
      <c r="H8" s="8">
        <f t="shared" si="0"/>
        <v>2017</v>
      </c>
      <c r="I8" s="8">
        <f t="shared" si="0"/>
        <v>2018</v>
      </c>
      <c r="J8" s="8">
        <f t="shared" si="0"/>
        <v>2019</v>
      </c>
      <c r="K8" s="8">
        <f t="shared" si="0"/>
        <v>2020</v>
      </c>
      <c r="L8" s="8">
        <f t="shared" si="0"/>
        <v>2021</v>
      </c>
      <c r="M8" s="8">
        <f t="shared" si="0"/>
        <v>2022</v>
      </c>
      <c r="N8" s="8">
        <f t="shared" si="0"/>
        <v>2023</v>
      </c>
      <c r="O8" s="8">
        <f t="shared" si="0"/>
        <v>2024</v>
      </c>
      <c r="P8" s="8">
        <f t="shared" si="0"/>
        <v>2025</v>
      </c>
      <c r="Q8" s="8">
        <f t="shared" si="0"/>
        <v>2026</v>
      </c>
      <c r="R8" s="8">
        <f t="shared" si="0"/>
        <v>2027</v>
      </c>
      <c r="S8" s="8">
        <f t="shared" si="0"/>
        <v>2028</v>
      </c>
      <c r="T8" s="8">
        <f t="shared" si="0"/>
        <v>2029</v>
      </c>
      <c r="U8" s="8">
        <f t="shared" si="0"/>
        <v>2030</v>
      </c>
      <c r="V8" s="114">
        <f t="shared" si="0"/>
        <v>2031</v>
      </c>
      <c r="W8" s="611"/>
    </row>
    <row r="9" spans="1:23" ht="15">
      <c r="A9" s="612" t="s">
        <v>120</v>
      </c>
      <c r="B9" s="618">
        <f>_xlfn.IFERROR('F2'!B58/(FaC*8760),"")</f>
        <v>107.17882938978828</v>
      </c>
      <c r="C9" s="618">
        <f>_xlfn.IFERROR('F2'!C58/(FaC*8760),"")</f>
        <v>108.99886363636362</v>
      </c>
      <c r="D9" s="618">
        <f>_xlfn.IFERROR('F2'!D58/(FaC*8760),"")</f>
        <v>110.99503572540475</v>
      </c>
      <c r="E9" s="618">
        <f>_xlfn.IFERROR('F2'!E58/(FaC*8760),"")</f>
        <v>112.71829140931695</v>
      </c>
      <c r="F9" s="618">
        <f>_xlfn.IFERROR('F2'!F58/(FaC*8760),"")</f>
        <v>114.75487099705872</v>
      </c>
      <c r="G9" s="618">
        <f>_xlfn.IFERROR('F2'!G58/(FaC*8760),"")</f>
        <v>116.73426290371042</v>
      </c>
      <c r="H9" s="618">
        <f>_xlfn.IFERROR('F2'!H58/(FaC*8760),"")</f>
        <v>118.81088488645567</v>
      </c>
      <c r="I9" s="618">
        <f>_xlfn.IFERROR('F2'!I58/(FaC*8760),"")</f>
        <v>120.90901194855157</v>
      </c>
      <c r="J9" s="618">
        <f>_xlfn.IFERROR('F2'!J58/(FaC*8760),"")</f>
        <v>123.02886173551666</v>
      </c>
      <c r="K9" s="618">
        <f>_xlfn.IFERROR('F2'!K58/(FaC*8760),"")</f>
        <v>125.17065392448833</v>
      </c>
      <c r="L9" s="618">
        <f>_xlfn.IFERROR('F2'!L58/(FaC*8760),"")</f>
        <v>127.33461024228622</v>
      </c>
      <c r="M9" s="618">
        <f>_xlfn.IFERROR('F2'!M58/(FaC*8760),"")</f>
        <v>129.52095448363085</v>
      </c>
      <c r="N9" s="618">
        <f>_xlfn.IFERROR('F2'!N58/(FaC*8760),"")</f>
        <v>131.72991252951928</v>
      </c>
      <c r="O9" s="618">
        <f>_xlfn.IFERROR('F2'!O58/(FaC*8760),"")</f>
        <v>133.96171236575876</v>
      </c>
      <c r="P9" s="618">
        <f>_xlfn.IFERROR('F2'!P58/(FaC*8760),"")</f>
        <v>136.59566255745025</v>
      </c>
      <c r="Q9" s="618">
        <f>_xlfn.IFERROR('F2'!Q58/(FaC*8760),"")</f>
        <v>138.87383844467956</v>
      </c>
      <c r="R9" s="618">
        <f>_xlfn.IFERROR('F2'!R58/(FaC*8760),"")</f>
        <v>141.35043115122394</v>
      </c>
      <c r="S9" s="618">
        <f>_xlfn.IFERROR('F2'!S58/(FaC*8760),"")</f>
        <v>143.67719737204374</v>
      </c>
      <c r="T9" s="618">
        <f>_xlfn.IFERROR('F2'!T58/(FaC*8760),"")</f>
        <v>146.33992330165097</v>
      </c>
      <c r="U9" s="618">
        <f>_xlfn.IFERROR('F2'!U58/(FaC*8760),"")</f>
        <v>148.895008577183</v>
      </c>
      <c r="V9" s="622">
        <f>_xlfn.IFERROR('F2'!V58/(FaC*8760),"")</f>
        <v>151.47722052795234</v>
      </c>
      <c r="W9" s="540"/>
    </row>
    <row r="10" spans="1:23" ht="15">
      <c r="A10" s="612" t="s">
        <v>124</v>
      </c>
      <c r="B10" s="273">
        <f>'F3-SC'!B17</f>
        <v>0</v>
      </c>
      <c r="C10" s="273">
        <f>'F3-SC'!C17</f>
        <v>0</v>
      </c>
      <c r="D10" s="273">
        <f>'F3-SC'!D17</f>
        <v>0</v>
      </c>
      <c r="E10" s="273">
        <f>'F3-SC'!E17</f>
        <v>0</v>
      </c>
      <c r="F10" s="273">
        <f>'F3-SC'!F17</f>
        <v>0</v>
      </c>
      <c r="G10" s="273">
        <f>'F3-SC'!G17</f>
        <v>0</v>
      </c>
      <c r="H10" s="273">
        <f>'F3-SC'!H17</f>
        <v>0</v>
      </c>
      <c r="I10" s="273">
        <f>'F3-SC'!I17</f>
        <v>0</v>
      </c>
      <c r="J10" s="273">
        <f>'F3-SC'!J17</f>
        <v>0</v>
      </c>
      <c r="K10" s="273">
        <f>'F3-SC'!K17</f>
        <v>0</v>
      </c>
      <c r="L10" s="273">
        <f>'F3-SC'!L17</f>
        <v>0</v>
      </c>
      <c r="M10" s="273">
        <f>'F3-SC'!M17</f>
        <v>0</v>
      </c>
      <c r="N10" s="273">
        <f>'F3-SC'!N17</f>
        <v>0</v>
      </c>
      <c r="O10" s="273">
        <f>'F3-SC'!O17</f>
        <v>0</v>
      </c>
      <c r="P10" s="273">
        <f>'F3-SC'!P17</f>
        <v>0</v>
      </c>
      <c r="Q10" s="273">
        <f>'F3-SC'!Q17</f>
        <v>0</v>
      </c>
      <c r="R10" s="273">
        <f>'F3-SC'!R17</f>
        <v>0</v>
      </c>
      <c r="S10" s="273">
        <f>'F3-SC'!S17</f>
        <v>0</v>
      </c>
      <c r="T10" s="273">
        <f>'F3-SC'!T17</f>
        <v>0</v>
      </c>
      <c r="U10" s="273">
        <f>'F3-SC'!U17</f>
        <v>0</v>
      </c>
      <c r="V10" s="615">
        <f>'F3-SC'!V17</f>
        <v>0</v>
      </c>
      <c r="W10" s="616"/>
    </row>
    <row r="11" spans="1:23" ht="15">
      <c r="A11" s="617" t="s">
        <v>204</v>
      </c>
      <c r="B11" s="618">
        <f aca="true" t="shared" si="1" ref="B11:V11">_xlfn.IFERROR(B10-B9,"")</f>
        <v>-107.17882938978828</v>
      </c>
      <c r="C11" s="618">
        <f t="shared" si="1"/>
        <v>-108.99886363636362</v>
      </c>
      <c r="D11" s="618">
        <f t="shared" si="1"/>
        <v>-110.99503572540475</v>
      </c>
      <c r="E11" s="618">
        <f t="shared" si="1"/>
        <v>-112.71829140931695</v>
      </c>
      <c r="F11" s="618">
        <f t="shared" si="1"/>
        <v>-114.75487099705872</v>
      </c>
      <c r="G11" s="618">
        <f t="shared" si="1"/>
        <v>-116.73426290371042</v>
      </c>
      <c r="H11" s="618">
        <f t="shared" si="1"/>
        <v>-118.81088488645567</v>
      </c>
      <c r="I11" s="618">
        <f t="shared" si="1"/>
        <v>-120.90901194855157</v>
      </c>
      <c r="J11" s="618">
        <f t="shared" si="1"/>
        <v>-123.02886173551666</v>
      </c>
      <c r="K11" s="618">
        <f t="shared" si="1"/>
        <v>-125.17065392448833</v>
      </c>
      <c r="L11" s="618">
        <f t="shared" si="1"/>
        <v>-127.33461024228622</v>
      </c>
      <c r="M11" s="618">
        <f t="shared" si="1"/>
        <v>-129.52095448363085</v>
      </c>
      <c r="N11" s="618">
        <f t="shared" si="1"/>
        <v>-131.72991252951928</v>
      </c>
      <c r="O11" s="618">
        <f t="shared" si="1"/>
        <v>-133.96171236575876</v>
      </c>
      <c r="P11" s="618">
        <f t="shared" si="1"/>
        <v>-136.59566255745025</v>
      </c>
      <c r="Q11" s="618">
        <f t="shared" si="1"/>
        <v>-138.87383844467956</v>
      </c>
      <c r="R11" s="618">
        <f t="shared" si="1"/>
        <v>-141.35043115122394</v>
      </c>
      <c r="S11" s="618">
        <f t="shared" si="1"/>
        <v>-143.67719737204374</v>
      </c>
      <c r="T11" s="618">
        <f t="shared" si="1"/>
        <v>-146.33992330165097</v>
      </c>
      <c r="U11" s="618">
        <f t="shared" si="1"/>
        <v>-148.895008577183</v>
      </c>
      <c r="V11" s="622">
        <f t="shared" si="1"/>
        <v>-151.47722052795234</v>
      </c>
      <c r="W11" s="540"/>
    </row>
    <row r="12" spans="1:23" ht="15">
      <c r="A12" s="325"/>
      <c r="B12" s="326"/>
      <c r="C12" s="326"/>
      <c r="D12" s="326"/>
      <c r="E12" s="326"/>
      <c r="F12" s="326"/>
      <c r="G12" s="326"/>
      <c r="H12" s="326"/>
      <c r="I12" s="326"/>
      <c r="J12" s="326"/>
      <c r="K12" s="326"/>
      <c r="L12" s="326"/>
      <c r="M12" s="326"/>
      <c r="N12" s="326"/>
      <c r="O12" s="326"/>
      <c r="P12" s="326"/>
      <c r="Q12" s="326"/>
      <c r="R12" s="326"/>
      <c r="S12" s="326"/>
      <c r="T12" s="326"/>
      <c r="U12" s="326"/>
      <c r="V12" s="610"/>
      <c r="W12" s="540"/>
    </row>
    <row r="13" spans="1:23" ht="15">
      <c r="A13" s="328" t="s">
        <v>208</v>
      </c>
      <c r="B13" s="329"/>
      <c r="C13" s="608"/>
      <c r="D13" s="608"/>
      <c r="E13" s="608"/>
      <c r="F13" s="608"/>
      <c r="G13" s="608"/>
      <c r="H13" s="608"/>
      <c r="I13" s="608"/>
      <c r="J13" s="608"/>
      <c r="K13" s="608"/>
      <c r="L13" s="608"/>
      <c r="M13" s="608"/>
      <c r="N13" s="608"/>
      <c r="O13" s="608"/>
      <c r="P13" s="608"/>
      <c r="Q13" s="608"/>
      <c r="R13" s="608"/>
      <c r="S13" s="608"/>
      <c r="T13" s="608"/>
      <c r="U13" s="608"/>
      <c r="V13" s="609"/>
      <c r="W13" s="540"/>
    </row>
    <row r="14" spans="1:23" ht="15">
      <c r="A14" s="325"/>
      <c r="B14" s="326"/>
      <c r="C14" s="326"/>
      <c r="D14" s="326"/>
      <c r="E14" s="326"/>
      <c r="F14" s="326"/>
      <c r="G14" s="326"/>
      <c r="H14" s="326"/>
      <c r="I14" s="326"/>
      <c r="J14" s="326"/>
      <c r="K14" s="326"/>
      <c r="L14" s="326"/>
      <c r="M14" s="326"/>
      <c r="N14" s="326"/>
      <c r="O14" s="326"/>
      <c r="P14" s="326"/>
      <c r="Q14" s="326"/>
      <c r="R14" s="326"/>
      <c r="S14" s="326"/>
      <c r="T14" s="326"/>
      <c r="U14" s="326"/>
      <c r="V14" s="610"/>
      <c r="W14" s="540"/>
    </row>
    <row r="15" spans="1:23" ht="15">
      <c r="A15" s="859" t="s">
        <v>92</v>
      </c>
      <c r="B15" s="860"/>
      <c r="C15" s="860"/>
      <c r="D15" s="860"/>
      <c r="E15" s="860"/>
      <c r="F15" s="860"/>
      <c r="G15" s="860"/>
      <c r="H15" s="860"/>
      <c r="I15" s="860"/>
      <c r="J15" s="860"/>
      <c r="K15" s="860"/>
      <c r="L15" s="860"/>
      <c r="M15" s="860"/>
      <c r="N15" s="860"/>
      <c r="O15" s="860"/>
      <c r="P15" s="860"/>
      <c r="Q15" s="860"/>
      <c r="R15" s="860"/>
      <c r="S15" s="860"/>
      <c r="T15" s="860"/>
      <c r="U15" s="860"/>
      <c r="V15" s="861"/>
      <c r="W15" s="611"/>
    </row>
    <row r="16" spans="1:23" ht="15">
      <c r="A16" s="857" t="s">
        <v>117</v>
      </c>
      <c r="B16" s="8">
        <v>0</v>
      </c>
      <c r="C16" s="8">
        <v>1</v>
      </c>
      <c r="D16" s="8">
        <v>2</v>
      </c>
      <c r="E16" s="8">
        <v>3</v>
      </c>
      <c r="F16" s="8">
        <v>4</v>
      </c>
      <c r="G16" s="8">
        <v>5</v>
      </c>
      <c r="H16" s="8">
        <v>6</v>
      </c>
      <c r="I16" s="8">
        <v>7</v>
      </c>
      <c r="J16" s="8">
        <v>8</v>
      </c>
      <c r="K16" s="8">
        <v>9</v>
      </c>
      <c r="L16" s="8">
        <v>10</v>
      </c>
      <c r="M16" s="8">
        <v>11</v>
      </c>
      <c r="N16" s="8">
        <v>12</v>
      </c>
      <c r="O16" s="8">
        <v>13</v>
      </c>
      <c r="P16" s="8">
        <v>14</v>
      </c>
      <c r="Q16" s="8">
        <v>15</v>
      </c>
      <c r="R16" s="8">
        <v>16</v>
      </c>
      <c r="S16" s="8">
        <v>17</v>
      </c>
      <c r="T16" s="8">
        <v>18</v>
      </c>
      <c r="U16" s="8">
        <v>19</v>
      </c>
      <c r="V16" s="114">
        <v>20</v>
      </c>
      <c r="W16" s="611"/>
    </row>
    <row r="17" spans="1:23" ht="15">
      <c r="A17" s="858"/>
      <c r="B17" s="8">
        <f>'F2'!C8</f>
        <v>2011</v>
      </c>
      <c r="C17" s="8">
        <f aca="true" t="shared" si="2" ref="C17:V17">+B17+1</f>
        <v>2012</v>
      </c>
      <c r="D17" s="8">
        <f t="shared" si="2"/>
        <v>2013</v>
      </c>
      <c r="E17" s="8">
        <f t="shared" si="2"/>
        <v>2014</v>
      </c>
      <c r="F17" s="8">
        <f t="shared" si="2"/>
        <v>2015</v>
      </c>
      <c r="G17" s="8">
        <f t="shared" si="2"/>
        <v>2016</v>
      </c>
      <c r="H17" s="8">
        <f t="shared" si="2"/>
        <v>2017</v>
      </c>
      <c r="I17" s="8">
        <f t="shared" si="2"/>
        <v>2018</v>
      </c>
      <c r="J17" s="8">
        <f t="shared" si="2"/>
        <v>2019</v>
      </c>
      <c r="K17" s="8">
        <f t="shared" si="2"/>
        <v>2020</v>
      </c>
      <c r="L17" s="8">
        <f t="shared" si="2"/>
        <v>2021</v>
      </c>
      <c r="M17" s="8">
        <f t="shared" si="2"/>
        <v>2022</v>
      </c>
      <c r="N17" s="8">
        <f t="shared" si="2"/>
        <v>2023</v>
      </c>
      <c r="O17" s="8">
        <f t="shared" si="2"/>
        <v>2024</v>
      </c>
      <c r="P17" s="8">
        <f t="shared" si="2"/>
        <v>2025</v>
      </c>
      <c r="Q17" s="8">
        <f t="shared" si="2"/>
        <v>2026</v>
      </c>
      <c r="R17" s="8">
        <f t="shared" si="2"/>
        <v>2027</v>
      </c>
      <c r="S17" s="8">
        <f t="shared" si="2"/>
        <v>2028</v>
      </c>
      <c r="T17" s="8">
        <f t="shared" si="2"/>
        <v>2029</v>
      </c>
      <c r="U17" s="8">
        <f t="shared" si="2"/>
        <v>2030</v>
      </c>
      <c r="V17" s="114">
        <f t="shared" si="2"/>
        <v>2031</v>
      </c>
      <c r="W17" s="611"/>
    </row>
    <row r="18" spans="1:23" ht="15">
      <c r="A18" s="612" t="s">
        <v>206</v>
      </c>
      <c r="B18" s="618">
        <f>'F3-SC'!B30</f>
        <v>117.77893339537174</v>
      </c>
      <c r="C18" s="618">
        <f>'F3-SC'!C30</f>
        <v>119.77897102897101</v>
      </c>
      <c r="D18" s="618">
        <f>'F3-SC'!D30</f>
        <v>121.972566731214</v>
      </c>
      <c r="E18" s="618">
        <f>'F3-SC'!E30</f>
        <v>123.86625429595269</v>
      </c>
      <c r="F18" s="618">
        <f>'F3-SC'!F30</f>
        <v>126.10425384292166</v>
      </c>
      <c r="G18" s="618">
        <f>'F3-SC'!G30</f>
        <v>128.27940978429714</v>
      </c>
      <c r="H18" s="618">
        <f>'F3-SC'!H30</f>
        <v>130.56141196313808</v>
      </c>
      <c r="I18" s="618">
        <f>'F3-SC'!I30</f>
        <v>132.8670460973094</v>
      </c>
      <c r="J18" s="618">
        <f>'F3-SC'!J30</f>
        <v>135.1965513577106</v>
      </c>
      <c r="K18" s="618">
        <f>'F3-SC'!K30</f>
        <v>137.55016914778938</v>
      </c>
      <c r="L18" s="618">
        <f>'F3-SC'!L30</f>
        <v>139.92814312339144</v>
      </c>
      <c r="M18" s="618">
        <f>'F3-SC'!M30</f>
        <v>142.33071921278116</v>
      </c>
      <c r="N18" s="618">
        <f>'F3-SC'!N30</f>
        <v>144.75814563683437</v>
      </c>
      <c r="O18" s="618">
        <f>'F3-SC'!O30</f>
        <v>147.21067292940523</v>
      </c>
      <c r="P18" s="618">
        <f>'F3-SC'!P30</f>
        <v>150.10512368950577</v>
      </c>
      <c r="Q18" s="618">
        <f>'F3-SC'!Q30</f>
        <v>152.60861367547204</v>
      </c>
      <c r="R18" s="618">
        <f>'F3-SC'!R30</f>
        <v>155.3301441222241</v>
      </c>
      <c r="S18" s="618">
        <f>'F3-SC'!S30</f>
        <v>157.88703007916897</v>
      </c>
      <c r="T18" s="618">
        <f>'F3-SC'!T30</f>
        <v>160.81310252928677</v>
      </c>
      <c r="U18" s="618">
        <f>'F3-SC'!U30</f>
        <v>163.62088854635493</v>
      </c>
      <c r="V18" s="622">
        <f>'F3-SC'!V30</f>
        <v>166.45848409665092</v>
      </c>
      <c r="W18" s="540"/>
    </row>
    <row r="19" spans="1:23" ht="15">
      <c r="A19" s="612" t="s">
        <v>124</v>
      </c>
      <c r="B19" s="273">
        <f>'F3-SC'!B32</f>
        <v>268</v>
      </c>
      <c r="C19" s="273">
        <f>'F3-SC'!C32</f>
        <v>268</v>
      </c>
      <c r="D19" s="273">
        <f>'F3-SC'!D32</f>
        <v>268</v>
      </c>
      <c r="E19" s="273">
        <f>'F3-SC'!E32</f>
        <v>268</v>
      </c>
      <c r="F19" s="273">
        <f>'F3-SC'!F32</f>
        <v>268</v>
      </c>
      <c r="G19" s="273">
        <f>'F3-SC'!G32</f>
        <v>268</v>
      </c>
      <c r="H19" s="273">
        <f>'F3-SC'!H32</f>
        <v>268</v>
      </c>
      <c r="I19" s="273">
        <f>'F3-SC'!I32</f>
        <v>268</v>
      </c>
      <c r="J19" s="273">
        <f>'F3-SC'!J32</f>
        <v>268</v>
      </c>
      <c r="K19" s="273">
        <f>'F3-SC'!K32</f>
        <v>268</v>
      </c>
      <c r="L19" s="273">
        <f>'F3-SC'!L32</f>
        <v>268</v>
      </c>
      <c r="M19" s="273">
        <f>'F3-SC'!M32</f>
        <v>268</v>
      </c>
      <c r="N19" s="273">
        <f>'F3-SC'!N32</f>
        <v>268</v>
      </c>
      <c r="O19" s="273">
        <f>'F3-SC'!O32</f>
        <v>268</v>
      </c>
      <c r="P19" s="273">
        <f>'F3-SC'!P32</f>
        <v>268</v>
      </c>
      <c r="Q19" s="273">
        <f>'F3-SC'!Q32</f>
        <v>268</v>
      </c>
      <c r="R19" s="273">
        <f>'F3-SC'!R32</f>
        <v>268</v>
      </c>
      <c r="S19" s="273">
        <f>'F3-SC'!S32</f>
        <v>268</v>
      </c>
      <c r="T19" s="273">
        <f>'F3-SC'!T32</f>
        <v>268</v>
      </c>
      <c r="U19" s="273">
        <f>'F3-SC'!U32</f>
        <v>268</v>
      </c>
      <c r="V19" s="615">
        <f>'F3-SC'!V32</f>
        <v>268</v>
      </c>
      <c r="W19" s="616"/>
    </row>
    <row r="20" spans="1:23" ht="15">
      <c r="A20" s="617" t="s">
        <v>377</v>
      </c>
      <c r="B20" s="618">
        <f aca="true" t="shared" si="3" ref="B20:V20">_xlfn.IFERROR(B19-B18,"")</f>
        <v>150.22106660462828</v>
      </c>
      <c r="C20" s="618">
        <f t="shared" si="3"/>
        <v>148.221028971029</v>
      </c>
      <c r="D20" s="618">
        <f t="shared" si="3"/>
        <v>146.027433268786</v>
      </c>
      <c r="E20" s="618">
        <f t="shared" si="3"/>
        <v>144.13374570404733</v>
      </c>
      <c r="F20" s="618">
        <f t="shared" si="3"/>
        <v>141.89574615707835</v>
      </c>
      <c r="G20" s="618">
        <f t="shared" si="3"/>
        <v>139.72059021570286</v>
      </c>
      <c r="H20" s="618">
        <f t="shared" si="3"/>
        <v>137.43858803686192</v>
      </c>
      <c r="I20" s="618">
        <f t="shared" si="3"/>
        <v>135.1329539026906</v>
      </c>
      <c r="J20" s="618">
        <f t="shared" si="3"/>
        <v>132.8034486422894</v>
      </c>
      <c r="K20" s="618">
        <f t="shared" si="3"/>
        <v>130.44983085221062</v>
      </c>
      <c r="L20" s="618">
        <f t="shared" si="3"/>
        <v>128.07185687660856</v>
      </c>
      <c r="M20" s="618">
        <f t="shared" si="3"/>
        <v>125.66928078721884</v>
      </c>
      <c r="N20" s="618">
        <f t="shared" si="3"/>
        <v>123.24185436316563</v>
      </c>
      <c r="O20" s="618">
        <f t="shared" si="3"/>
        <v>120.78932707059477</v>
      </c>
      <c r="P20" s="618">
        <f t="shared" si="3"/>
        <v>117.89487631049423</v>
      </c>
      <c r="Q20" s="618">
        <f t="shared" si="3"/>
        <v>115.39138632452796</v>
      </c>
      <c r="R20" s="618">
        <f t="shared" si="3"/>
        <v>112.66985587777589</v>
      </c>
      <c r="S20" s="618">
        <f t="shared" si="3"/>
        <v>110.11296992083103</v>
      </c>
      <c r="T20" s="618">
        <f t="shared" si="3"/>
        <v>107.18689747071323</v>
      </c>
      <c r="U20" s="618">
        <f t="shared" si="3"/>
        <v>104.37911145364507</v>
      </c>
      <c r="V20" s="622">
        <f t="shared" si="3"/>
        <v>101.54151590334908</v>
      </c>
      <c r="W20" s="540"/>
    </row>
    <row r="21" spans="1:23" ht="15">
      <c r="A21" s="325"/>
      <c r="B21" s="326"/>
      <c r="C21" s="326"/>
      <c r="D21" s="326"/>
      <c r="E21" s="326"/>
      <c r="F21" s="326"/>
      <c r="G21" s="326"/>
      <c r="H21" s="326"/>
      <c r="I21" s="326"/>
      <c r="J21" s="326"/>
      <c r="K21" s="326"/>
      <c r="L21" s="326"/>
      <c r="M21" s="326"/>
      <c r="N21" s="326"/>
      <c r="O21" s="326"/>
      <c r="P21" s="326"/>
      <c r="Q21" s="326"/>
      <c r="R21" s="326"/>
      <c r="S21" s="326"/>
      <c r="T21" s="326"/>
      <c r="U21" s="326"/>
      <c r="V21" s="610"/>
      <c r="W21" s="540"/>
    </row>
    <row r="22" spans="1:23" ht="15">
      <c r="A22" s="328" t="s">
        <v>205</v>
      </c>
      <c r="B22" s="326"/>
      <c r="C22" s="326"/>
      <c r="D22" s="326"/>
      <c r="E22" s="326"/>
      <c r="F22" s="326"/>
      <c r="G22" s="326"/>
      <c r="H22" s="326"/>
      <c r="I22" s="326"/>
      <c r="J22" s="326"/>
      <c r="K22" s="326"/>
      <c r="L22" s="326"/>
      <c r="M22" s="326"/>
      <c r="N22" s="326"/>
      <c r="O22" s="326"/>
      <c r="P22" s="326"/>
      <c r="Q22" s="326"/>
      <c r="R22" s="326"/>
      <c r="S22" s="326"/>
      <c r="T22" s="326"/>
      <c r="U22" s="326"/>
      <c r="V22" s="610"/>
      <c r="W22" s="540"/>
    </row>
    <row r="23" spans="1:23" ht="15">
      <c r="A23" s="325"/>
      <c r="B23" s="326"/>
      <c r="C23" s="326"/>
      <c r="D23" s="326"/>
      <c r="E23" s="326"/>
      <c r="F23" s="326"/>
      <c r="G23" s="326"/>
      <c r="H23" s="326"/>
      <c r="I23" s="326"/>
      <c r="J23" s="326"/>
      <c r="K23" s="326"/>
      <c r="L23" s="326"/>
      <c r="M23" s="326"/>
      <c r="N23" s="326"/>
      <c r="O23" s="326"/>
      <c r="P23" s="326"/>
      <c r="Q23" s="326"/>
      <c r="R23" s="326"/>
      <c r="S23" s="326"/>
      <c r="T23" s="326"/>
      <c r="U23" s="326"/>
      <c r="V23" s="610"/>
      <c r="W23" s="540"/>
    </row>
    <row r="24" spans="1:23" ht="15">
      <c r="A24" s="859" t="s">
        <v>92</v>
      </c>
      <c r="B24" s="860"/>
      <c r="C24" s="860"/>
      <c r="D24" s="860"/>
      <c r="E24" s="860"/>
      <c r="F24" s="860"/>
      <c r="G24" s="860"/>
      <c r="H24" s="860"/>
      <c r="I24" s="860"/>
      <c r="J24" s="860"/>
      <c r="K24" s="860"/>
      <c r="L24" s="860"/>
      <c r="M24" s="860"/>
      <c r="N24" s="860"/>
      <c r="O24" s="860"/>
      <c r="P24" s="860"/>
      <c r="Q24" s="860"/>
      <c r="R24" s="860"/>
      <c r="S24" s="860"/>
      <c r="T24" s="860"/>
      <c r="U24" s="860"/>
      <c r="V24" s="861"/>
      <c r="W24" s="540"/>
    </row>
    <row r="25" spans="1:23" ht="15">
      <c r="A25" s="857" t="s">
        <v>117</v>
      </c>
      <c r="B25" s="8">
        <v>0</v>
      </c>
      <c r="C25" s="8">
        <v>1</v>
      </c>
      <c r="D25" s="8">
        <v>2</v>
      </c>
      <c r="E25" s="8">
        <v>3</v>
      </c>
      <c r="F25" s="8">
        <v>4</v>
      </c>
      <c r="G25" s="8">
        <v>5</v>
      </c>
      <c r="H25" s="8">
        <v>6</v>
      </c>
      <c r="I25" s="8">
        <v>7</v>
      </c>
      <c r="J25" s="8">
        <v>8</v>
      </c>
      <c r="K25" s="8">
        <v>9</v>
      </c>
      <c r="L25" s="8">
        <v>10</v>
      </c>
      <c r="M25" s="8">
        <v>11</v>
      </c>
      <c r="N25" s="8">
        <v>12</v>
      </c>
      <c r="O25" s="8">
        <v>13</v>
      </c>
      <c r="P25" s="8">
        <v>14</v>
      </c>
      <c r="Q25" s="8">
        <v>15</v>
      </c>
      <c r="R25" s="8">
        <v>16</v>
      </c>
      <c r="S25" s="8">
        <v>17</v>
      </c>
      <c r="T25" s="8">
        <v>18</v>
      </c>
      <c r="U25" s="8">
        <v>19</v>
      </c>
      <c r="V25" s="114">
        <v>20</v>
      </c>
      <c r="W25" s="540"/>
    </row>
    <row r="26" spans="1:23" ht="15">
      <c r="A26" s="858"/>
      <c r="B26" s="8">
        <f>+B8</f>
        <v>2011</v>
      </c>
      <c r="C26" s="8">
        <f aca="true" t="shared" si="4" ref="C26:V26">+B26+1</f>
        <v>2012</v>
      </c>
      <c r="D26" s="8">
        <f t="shared" si="4"/>
        <v>2013</v>
      </c>
      <c r="E26" s="8">
        <f t="shared" si="4"/>
        <v>2014</v>
      </c>
      <c r="F26" s="8">
        <f t="shared" si="4"/>
        <v>2015</v>
      </c>
      <c r="G26" s="8">
        <f t="shared" si="4"/>
        <v>2016</v>
      </c>
      <c r="H26" s="8">
        <f t="shared" si="4"/>
        <v>2017</v>
      </c>
      <c r="I26" s="8">
        <f t="shared" si="4"/>
        <v>2018</v>
      </c>
      <c r="J26" s="8">
        <f t="shared" si="4"/>
        <v>2019</v>
      </c>
      <c r="K26" s="8">
        <f t="shared" si="4"/>
        <v>2020</v>
      </c>
      <c r="L26" s="8">
        <f t="shared" si="4"/>
        <v>2021</v>
      </c>
      <c r="M26" s="8">
        <f t="shared" si="4"/>
        <v>2022</v>
      </c>
      <c r="N26" s="8">
        <f t="shared" si="4"/>
        <v>2023</v>
      </c>
      <c r="O26" s="8">
        <f t="shared" si="4"/>
        <v>2024</v>
      </c>
      <c r="P26" s="8">
        <f t="shared" si="4"/>
        <v>2025</v>
      </c>
      <c r="Q26" s="8">
        <f t="shared" si="4"/>
        <v>2026</v>
      </c>
      <c r="R26" s="8">
        <f t="shared" si="4"/>
        <v>2027</v>
      </c>
      <c r="S26" s="8">
        <f t="shared" si="4"/>
        <v>2028</v>
      </c>
      <c r="T26" s="8">
        <f t="shared" si="4"/>
        <v>2029</v>
      </c>
      <c r="U26" s="8">
        <f t="shared" si="4"/>
        <v>2030</v>
      </c>
      <c r="V26" s="114">
        <f t="shared" si="4"/>
        <v>2031</v>
      </c>
      <c r="W26" s="540"/>
    </row>
    <row r="27" spans="1:23" ht="15">
      <c r="A27" s="617" t="s">
        <v>120</v>
      </c>
      <c r="B27" s="629">
        <f aca="true" t="shared" si="5" ref="B27:V27">SUM(B28:B29)</f>
        <v>1244.7107293897882</v>
      </c>
      <c r="C27" s="629">
        <f t="shared" si="5"/>
        <v>1269.2814016363636</v>
      </c>
      <c r="D27" s="629">
        <f t="shared" si="5"/>
        <v>1294.483224485405</v>
      </c>
      <c r="E27" s="629">
        <f t="shared" si="5"/>
        <v>1319.876243944517</v>
      </c>
      <c r="F27" s="629">
        <f t="shared" si="5"/>
        <v>1346.055982582963</v>
      </c>
      <c r="G27" s="629">
        <f t="shared" si="5"/>
        <v>1372.6613967213325</v>
      </c>
      <c r="H27" s="629">
        <f t="shared" si="5"/>
        <v>1399.8565613804303</v>
      </c>
      <c r="I27" s="629">
        <f t="shared" si="5"/>
        <v>1427.5756019724056</v>
      </c>
      <c r="J27" s="629">
        <f t="shared" si="5"/>
        <v>1455.828783559848</v>
      </c>
      <c r="K27" s="629">
        <f t="shared" si="5"/>
        <v>1484.6265741853063</v>
      </c>
      <c r="L27" s="629">
        <f t="shared" si="5"/>
        <v>1513.9796489083208</v>
      </c>
      <c r="M27" s="629">
        <f t="shared" si="5"/>
        <v>1543.898893922986</v>
      </c>
      <c r="N27" s="629">
        <f t="shared" si="5"/>
        <v>1574.3954107576612</v>
      </c>
      <c r="O27" s="629">
        <f t="shared" si="5"/>
        <v>1605.4805205584637</v>
      </c>
      <c r="P27" s="629">
        <f t="shared" si="5"/>
        <v>1637.5448469140092</v>
      </c>
      <c r="Q27" s="629">
        <f t="shared" si="5"/>
        <v>1669.8420064883699</v>
      </c>
      <c r="R27" s="629">
        <f t="shared" si="5"/>
        <v>1702.937962555788</v>
      </c>
      <c r="S27" s="629">
        <f t="shared" si="5"/>
        <v>1736.4964794046991</v>
      </c>
      <c r="T27" s="629">
        <f t="shared" si="5"/>
        <v>1771.0155909749594</v>
      </c>
      <c r="U27" s="629">
        <f t="shared" si="5"/>
        <v>1806.0641896039579</v>
      </c>
      <c r="V27" s="630">
        <f t="shared" si="5"/>
        <v>1831.4772205279523</v>
      </c>
      <c r="W27" s="540"/>
    </row>
    <row r="28" spans="1:23" ht="15">
      <c r="A28" s="631" t="s">
        <v>378</v>
      </c>
      <c r="B28" s="618">
        <f aca="true" t="shared" si="6" ref="B28:V28">+B9</f>
        <v>107.17882938978828</v>
      </c>
      <c r="C28" s="618">
        <f t="shared" si="6"/>
        <v>108.99886363636362</v>
      </c>
      <c r="D28" s="618">
        <f t="shared" si="6"/>
        <v>110.99503572540475</v>
      </c>
      <c r="E28" s="618">
        <f t="shared" si="6"/>
        <v>112.71829140931695</v>
      </c>
      <c r="F28" s="618">
        <f t="shared" si="6"/>
        <v>114.75487099705872</v>
      </c>
      <c r="G28" s="618">
        <f t="shared" si="6"/>
        <v>116.73426290371042</v>
      </c>
      <c r="H28" s="618">
        <f t="shared" si="6"/>
        <v>118.81088488645567</v>
      </c>
      <c r="I28" s="618">
        <f t="shared" si="6"/>
        <v>120.90901194855157</v>
      </c>
      <c r="J28" s="618">
        <f t="shared" si="6"/>
        <v>123.02886173551666</v>
      </c>
      <c r="K28" s="618">
        <f t="shared" si="6"/>
        <v>125.17065392448833</v>
      </c>
      <c r="L28" s="618">
        <f t="shared" si="6"/>
        <v>127.33461024228622</v>
      </c>
      <c r="M28" s="618">
        <f t="shared" si="6"/>
        <v>129.52095448363085</v>
      </c>
      <c r="N28" s="618">
        <f t="shared" si="6"/>
        <v>131.72991252951928</v>
      </c>
      <c r="O28" s="618">
        <f t="shared" si="6"/>
        <v>133.96171236575876</v>
      </c>
      <c r="P28" s="618">
        <f t="shared" si="6"/>
        <v>136.59566255745025</v>
      </c>
      <c r="Q28" s="618">
        <f t="shared" si="6"/>
        <v>138.87383844467956</v>
      </c>
      <c r="R28" s="618">
        <f t="shared" si="6"/>
        <v>141.35043115122394</v>
      </c>
      <c r="S28" s="618">
        <f t="shared" si="6"/>
        <v>143.67719737204374</v>
      </c>
      <c r="T28" s="618">
        <f t="shared" si="6"/>
        <v>146.33992330165097</v>
      </c>
      <c r="U28" s="618">
        <f t="shared" si="6"/>
        <v>148.895008577183</v>
      </c>
      <c r="V28" s="622">
        <f t="shared" si="6"/>
        <v>151.47722052795234</v>
      </c>
      <c r="W28" s="540"/>
    </row>
    <row r="29" spans="1:23" ht="15">
      <c r="A29" s="631" t="s">
        <v>252</v>
      </c>
      <c r="B29" s="618">
        <f>Entrada!E31</f>
        <v>1137.5319</v>
      </c>
      <c r="C29" s="618">
        <f>Entrada!E32</f>
        <v>1160.282538</v>
      </c>
      <c r="D29" s="618">
        <f>Entrada!E33</f>
        <v>1183.4881887600002</v>
      </c>
      <c r="E29" s="618">
        <f>Entrada!E34</f>
        <v>1207.1579525352001</v>
      </c>
      <c r="F29" s="618">
        <f>Entrada!E35</f>
        <v>1231.3011115859042</v>
      </c>
      <c r="G29" s="618">
        <f>Entrada!E36</f>
        <v>1255.927133817622</v>
      </c>
      <c r="H29" s="618">
        <f>Entrada!E37</f>
        <v>1281.0456764939747</v>
      </c>
      <c r="I29" s="618">
        <f>Entrada!E38</f>
        <v>1306.666590023854</v>
      </c>
      <c r="J29" s="618">
        <f>Entrada!E39</f>
        <v>1332.7999218243315</v>
      </c>
      <c r="K29" s="618">
        <f>Entrada!E40</f>
        <v>1359.455920260818</v>
      </c>
      <c r="L29" s="618">
        <f>Entrada!E41</f>
        <v>1386.6450386660345</v>
      </c>
      <c r="M29" s="618">
        <f>Entrada!E42</f>
        <v>1414.377939439355</v>
      </c>
      <c r="N29" s="618">
        <f>Entrada!E43</f>
        <v>1442.665498228142</v>
      </c>
      <c r="O29" s="618">
        <f>Entrada!E44</f>
        <v>1471.518808192705</v>
      </c>
      <c r="P29" s="618">
        <f>Entrada!E45</f>
        <v>1500.949184356559</v>
      </c>
      <c r="Q29" s="618">
        <f>Entrada!E46</f>
        <v>1530.9681680436902</v>
      </c>
      <c r="R29" s="618">
        <f>Entrada!E47</f>
        <v>1561.587531404564</v>
      </c>
      <c r="S29" s="618">
        <f>Entrada!E48</f>
        <v>1592.8192820326553</v>
      </c>
      <c r="T29" s="618">
        <f>Entrada!E49</f>
        <v>1624.6756676733085</v>
      </c>
      <c r="U29" s="618">
        <f>Entrada!E50</f>
        <v>1657.1691810267748</v>
      </c>
      <c r="V29" s="622">
        <f>Entrada!E51</f>
        <v>1680</v>
      </c>
      <c r="W29" s="540"/>
    </row>
    <row r="30" spans="1:23" ht="15">
      <c r="A30" s="632"/>
      <c r="B30" s="618"/>
      <c r="C30" s="618"/>
      <c r="D30" s="618"/>
      <c r="E30" s="618"/>
      <c r="F30" s="618"/>
      <c r="G30" s="618"/>
      <c r="H30" s="618"/>
      <c r="I30" s="618"/>
      <c r="J30" s="618"/>
      <c r="K30" s="618"/>
      <c r="L30" s="618"/>
      <c r="M30" s="618"/>
      <c r="N30" s="618"/>
      <c r="O30" s="618"/>
      <c r="P30" s="618"/>
      <c r="Q30" s="618"/>
      <c r="R30" s="618"/>
      <c r="S30" s="618"/>
      <c r="T30" s="618"/>
      <c r="U30" s="618"/>
      <c r="V30" s="622"/>
      <c r="W30" s="540"/>
    </row>
    <row r="31" spans="1:23" ht="15">
      <c r="A31" s="617" t="s">
        <v>124</v>
      </c>
      <c r="B31" s="273">
        <f>B32</f>
        <v>5950</v>
      </c>
      <c r="C31" s="273">
        <f aca="true" t="shared" si="7" ref="C31:V31">C32</f>
        <v>5950</v>
      </c>
      <c r="D31" s="273">
        <f t="shared" si="7"/>
        <v>5950</v>
      </c>
      <c r="E31" s="273">
        <f t="shared" si="7"/>
        <v>5950</v>
      </c>
      <c r="F31" s="273">
        <f t="shared" si="7"/>
        <v>5950</v>
      </c>
      <c r="G31" s="273">
        <f t="shared" si="7"/>
        <v>5950</v>
      </c>
      <c r="H31" s="273">
        <f t="shared" si="7"/>
        <v>5950</v>
      </c>
      <c r="I31" s="273">
        <f t="shared" si="7"/>
        <v>5950</v>
      </c>
      <c r="J31" s="273">
        <f t="shared" si="7"/>
        <v>5950</v>
      </c>
      <c r="K31" s="273">
        <f t="shared" si="7"/>
        <v>5950</v>
      </c>
      <c r="L31" s="273">
        <f t="shared" si="7"/>
        <v>5950</v>
      </c>
      <c r="M31" s="273">
        <f t="shared" si="7"/>
        <v>5950</v>
      </c>
      <c r="N31" s="273">
        <f t="shared" si="7"/>
        <v>5950</v>
      </c>
      <c r="O31" s="273">
        <f t="shared" si="7"/>
        <v>5950</v>
      </c>
      <c r="P31" s="273">
        <f t="shared" si="7"/>
        <v>5950</v>
      </c>
      <c r="Q31" s="273">
        <f t="shared" si="7"/>
        <v>5950</v>
      </c>
      <c r="R31" s="273">
        <f t="shared" si="7"/>
        <v>5950</v>
      </c>
      <c r="S31" s="273">
        <f t="shared" si="7"/>
        <v>5950</v>
      </c>
      <c r="T31" s="273">
        <f t="shared" si="7"/>
        <v>5950</v>
      </c>
      <c r="U31" s="273">
        <f t="shared" si="7"/>
        <v>5950</v>
      </c>
      <c r="V31" s="615">
        <f t="shared" si="7"/>
        <v>5950</v>
      </c>
      <c r="W31" s="540"/>
    </row>
    <row r="32" spans="1:23" ht="15">
      <c r="A32" s="633" t="s">
        <v>119</v>
      </c>
      <c r="B32" s="273">
        <f>'F3-SC'!B43</f>
        <v>5950</v>
      </c>
      <c r="C32" s="273">
        <f>'F3-SC'!C43</f>
        <v>5950</v>
      </c>
      <c r="D32" s="273">
        <f>'F3-SC'!D43</f>
        <v>5950</v>
      </c>
      <c r="E32" s="273">
        <f>'F3-SC'!E43</f>
        <v>5950</v>
      </c>
      <c r="F32" s="273">
        <f>'F3-SC'!F43</f>
        <v>5950</v>
      </c>
      <c r="G32" s="273">
        <f>'F3-SC'!G43</f>
        <v>5950</v>
      </c>
      <c r="H32" s="273">
        <f>'F3-SC'!H43</f>
        <v>5950</v>
      </c>
      <c r="I32" s="273">
        <f>'F3-SC'!I43</f>
        <v>5950</v>
      </c>
      <c r="J32" s="273">
        <f>'F3-SC'!J43</f>
        <v>5950</v>
      </c>
      <c r="K32" s="273">
        <f>'F3-SC'!K43</f>
        <v>5950</v>
      </c>
      <c r="L32" s="273">
        <f>'F3-SC'!L43</f>
        <v>5950</v>
      </c>
      <c r="M32" s="273">
        <f>'F3-SC'!M43</f>
        <v>5950</v>
      </c>
      <c r="N32" s="273">
        <f>'F3-SC'!N43</f>
        <v>5950</v>
      </c>
      <c r="O32" s="273">
        <f>'F3-SC'!O43</f>
        <v>5950</v>
      </c>
      <c r="P32" s="273">
        <f>'F3-SC'!P43</f>
        <v>5950</v>
      </c>
      <c r="Q32" s="273">
        <f>'F3-SC'!Q43</f>
        <v>5950</v>
      </c>
      <c r="R32" s="273">
        <f>'F3-SC'!R43</f>
        <v>5950</v>
      </c>
      <c r="S32" s="273">
        <f>'F3-SC'!S43</f>
        <v>5950</v>
      </c>
      <c r="T32" s="273">
        <f>'F3-SC'!T43</f>
        <v>5950</v>
      </c>
      <c r="U32" s="273">
        <f>'F3-SC'!U43</f>
        <v>5950</v>
      </c>
      <c r="V32" s="615">
        <f>'F3-SC'!V43</f>
        <v>5950</v>
      </c>
      <c r="W32" s="540"/>
    </row>
    <row r="33" spans="1:23" ht="15">
      <c r="A33" s="612"/>
      <c r="B33" s="273"/>
      <c r="C33" s="273"/>
      <c r="D33" s="273"/>
      <c r="E33" s="273"/>
      <c r="F33" s="273"/>
      <c r="G33" s="273"/>
      <c r="H33" s="273"/>
      <c r="I33" s="273"/>
      <c r="J33" s="273"/>
      <c r="K33" s="273"/>
      <c r="L33" s="273"/>
      <c r="M33" s="273"/>
      <c r="N33" s="273"/>
      <c r="O33" s="273"/>
      <c r="P33" s="273"/>
      <c r="Q33" s="273"/>
      <c r="R33" s="273"/>
      <c r="S33" s="273"/>
      <c r="T33" s="273"/>
      <c r="U33" s="273"/>
      <c r="V33" s="615"/>
      <c r="W33" s="540"/>
    </row>
    <row r="34" spans="1:23" ht="15.75" thickBot="1">
      <c r="A34" s="634" t="s">
        <v>209</v>
      </c>
      <c r="B34" s="635">
        <f aca="true" t="shared" si="8" ref="B34:V34">B31-B27</f>
        <v>4705.289270610212</v>
      </c>
      <c r="C34" s="635">
        <f t="shared" si="8"/>
        <v>4680.718598363636</v>
      </c>
      <c r="D34" s="635">
        <f t="shared" si="8"/>
        <v>4655.516775514595</v>
      </c>
      <c r="E34" s="635">
        <f t="shared" si="8"/>
        <v>4630.123756055483</v>
      </c>
      <c r="F34" s="635">
        <f t="shared" si="8"/>
        <v>4603.944017417037</v>
      </c>
      <c r="G34" s="635">
        <f t="shared" si="8"/>
        <v>4577.3386032786675</v>
      </c>
      <c r="H34" s="635">
        <f t="shared" si="8"/>
        <v>4550.14343861957</v>
      </c>
      <c r="I34" s="635">
        <f t="shared" si="8"/>
        <v>4522.424398027594</v>
      </c>
      <c r="J34" s="635">
        <f t="shared" si="8"/>
        <v>4494.171216440152</v>
      </c>
      <c r="K34" s="635">
        <f t="shared" si="8"/>
        <v>4465.373425814694</v>
      </c>
      <c r="L34" s="635">
        <f t="shared" si="8"/>
        <v>4436.020351091679</v>
      </c>
      <c r="M34" s="635">
        <f t="shared" si="8"/>
        <v>4406.101106077014</v>
      </c>
      <c r="N34" s="635">
        <f t="shared" si="8"/>
        <v>4375.604589242339</v>
      </c>
      <c r="O34" s="635">
        <f t="shared" si="8"/>
        <v>4344.5194794415365</v>
      </c>
      <c r="P34" s="635">
        <f t="shared" si="8"/>
        <v>4312.455153085991</v>
      </c>
      <c r="Q34" s="635">
        <f t="shared" si="8"/>
        <v>4280.15799351163</v>
      </c>
      <c r="R34" s="635">
        <f t="shared" si="8"/>
        <v>4247.0620374442115</v>
      </c>
      <c r="S34" s="635">
        <f t="shared" si="8"/>
        <v>4213.503520595301</v>
      </c>
      <c r="T34" s="635">
        <f t="shared" si="8"/>
        <v>4178.984409025041</v>
      </c>
      <c r="U34" s="635">
        <f t="shared" si="8"/>
        <v>4143.935810396042</v>
      </c>
      <c r="V34" s="636">
        <f t="shared" si="8"/>
        <v>4118.522779472048</v>
      </c>
      <c r="W34" s="540"/>
    </row>
    <row r="35" spans="1:23" ht="15">
      <c r="A35" s="540"/>
      <c r="B35" s="540"/>
      <c r="C35" s="540"/>
      <c r="D35" s="540"/>
      <c r="E35" s="540"/>
      <c r="F35" s="540"/>
      <c r="G35" s="540"/>
      <c r="H35" s="540"/>
      <c r="I35" s="540"/>
      <c r="J35" s="540"/>
      <c r="K35" s="540"/>
      <c r="L35" s="540"/>
      <c r="M35" s="540"/>
      <c r="N35" s="540"/>
      <c r="O35" s="540"/>
      <c r="P35" s="540"/>
      <c r="Q35" s="540"/>
      <c r="R35" s="540"/>
      <c r="S35" s="540"/>
      <c r="T35" s="540"/>
      <c r="U35" s="540"/>
      <c r="V35" s="540"/>
      <c r="W35" s="540"/>
    </row>
  </sheetData>
  <sheetProtection password="FFA0" sheet="1" objects="1"/>
  <mergeCells count="8">
    <mergeCell ref="A6:V6"/>
    <mergeCell ref="A2:V2"/>
    <mergeCell ref="A3:V3"/>
    <mergeCell ref="A24:V24"/>
    <mergeCell ref="A7:A8"/>
    <mergeCell ref="A25:A26"/>
    <mergeCell ref="A15:V15"/>
    <mergeCell ref="A16:A17"/>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71" r:id="rId2"/>
  <drawing r:id="rId1"/>
</worksheet>
</file>

<file path=xl/worksheets/sheet9.xml><?xml version="1.0" encoding="utf-8"?>
<worksheet xmlns="http://schemas.openxmlformats.org/spreadsheetml/2006/main" xmlns:r="http://schemas.openxmlformats.org/officeDocument/2006/relationships">
  <sheetPr codeName="Hoja23">
    <pageSetUpPr fitToPage="1"/>
  </sheetPr>
  <dimension ref="A1:W28"/>
  <sheetViews>
    <sheetView showGridLines="0" showZeros="0" zoomScaleSheetLayoutView="100" zoomScalePageLayoutView="0" workbookViewId="0" topLeftCell="A1">
      <pane ySplit="3" topLeftCell="A4" activePane="bottomLeft" state="frozen"/>
      <selection pane="topLeft" activeCell="K132" sqref="K132"/>
      <selection pane="bottomLeft" activeCell="B23" sqref="B23"/>
    </sheetView>
  </sheetViews>
  <sheetFormatPr defaultColWidth="11.421875" defaultRowHeight="15"/>
  <cols>
    <col min="1" max="1" width="22.140625" style="234" customWidth="1"/>
    <col min="2" max="21" width="9.8515625" style="234" customWidth="1"/>
    <col min="22" max="22" width="10.421875" style="234" customWidth="1"/>
    <col min="23" max="16384" width="11.421875" style="234" customWidth="1"/>
  </cols>
  <sheetData>
    <row r="1" spans="1:23" ht="27.75" customHeight="1" thickBot="1">
      <c r="A1" s="540"/>
      <c r="B1" s="540"/>
      <c r="C1" s="540"/>
      <c r="D1" s="540"/>
      <c r="E1" s="540"/>
      <c r="F1" s="540"/>
      <c r="G1" s="540"/>
      <c r="H1" s="540"/>
      <c r="I1" s="540"/>
      <c r="J1" s="540"/>
      <c r="K1" s="540"/>
      <c r="L1" s="540"/>
      <c r="M1" s="540"/>
      <c r="N1" s="540"/>
      <c r="O1" s="540"/>
      <c r="P1" s="540"/>
      <c r="Q1" s="540"/>
      <c r="R1" s="540"/>
      <c r="S1" s="540"/>
      <c r="T1" s="540"/>
      <c r="U1" s="540"/>
      <c r="V1" s="540"/>
      <c r="W1" s="540"/>
    </row>
    <row r="2" spans="1:23" ht="15" customHeight="1">
      <c r="A2" s="846" t="s">
        <v>125</v>
      </c>
      <c r="B2" s="847"/>
      <c r="C2" s="847"/>
      <c r="D2" s="847"/>
      <c r="E2" s="847"/>
      <c r="F2" s="847"/>
      <c r="G2" s="847"/>
      <c r="H2" s="847"/>
      <c r="I2" s="847"/>
      <c r="J2" s="847"/>
      <c r="K2" s="847"/>
      <c r="L2" s="847"/>
      <c r="M2" s="847"/>
      <c r="N2" s="847"/>
      <c r="O2" s="847"/>
      <c r="P2" s="847"/>
      <c r="Q2" s="847"/>
      <c r="R2" s="847"/>
      <c r="S2" s="847"/>
      <c r="T2" s="847"/>
      <c r="U2" s="847"/>
      <c r="V2" s="848"/>
      <c r="W2" s="540"/>
    </row>
    <row r="3" spans="1:23" ht="15.75">
      <c r="A3" s="864" t="s">
        <v>339</v>
      </c>
      <c r="B3" s="865"/>
      <c r="C3" s="865"/>
      <c r="D3" s="865"/>
      <c r="E3" s="865"/>
      <c r="F3" s="865"/>
      <c r="G3" s="865"/>
      <c r="H3" s="865"/>
      <c r="I3" s="865"/>
      <c r="J3" s="865"/>
      <c r="K3" s="865"/>
      <c r="L3" s="865"/>
      <c r="M3" s="865"/>
      <c r="N3" s="865"/>
      <c r="O3" s="865"/>
      <c r="P3" s="865"/>
      <c r="Q3" s="865"/>
      <c r="R3" s="865"/>
      <c r="S3" s="865"/>
      <c r="T3" s="865"/>
      <c r="U3" s="865"/>
      <c r="V3" s="866"/>
      <c r="W3" s="540"/>
    </row>
    <row r="4" spans="1:23" ht="39" customHeight="1">
      <c r="A4" s="328" t="s">
        <v>207</v>
      </c>
      <c r="B4" s="329"/>
      <c r="C4" s="608"/>
      <c r="D4" s="608"/>
      <c r="E4" s="608"/>
      <c r="F4" s="608"/>
      <c r="G4" s="608"/>
      <c r="H4" s="608"/>
      <c r="I4" s="608"/>
      <c r="J4" s="608"/>
      <c r="K4" s="608"/>
      <c r="L4" s="608"/>
      <c r="M4" s="608"/>
      <c r="N4" s="608"/>
      <c r="O4" s="608"/>
      <c r="P4" s="608"/>
      <c r="Q4" s="608"/>
      <c r="R4" s="608"/>
      <c r="S4" s="608"/>
      <c r="T4" s="608"/>
      <c r="U4" s="608"/>
      <c r="V4" s="609"/>
      <c r="W4" s="540"/>
    </row>
    <row r="5" spans="1:23" ht="15">
      <c r="A5" s="325"/>
      <c r="B5" s="326"/>
      <c r="C5" s="326"/>
      <c r="D5" s="326"/>
      <c r="E5" s="326"/>
      <c r="F5" s="326"/>
      <c r="G5" s="326"/>
      <c r="H5" s="326"/>
      <c r="I5" s="326"/>
      <c r="J5" s="326"/>
      <c r="K5" s="326"/>
      <c r="L5" s="326"/>
      <c r="M5" s="326"/>
      <c r="N5" s="326"/>
      <c r="O5" s="326"/>
      <c r="P5" s="326"/>
      <c r="Q5" s="326"/>
      <c r="R5" s="326"/>
      <c r="S5" s="326"/>
      <c r="T5" s="326"/>
      <c r="U5" s="326"/>
      <c r="V5" s="610"/>
      <c r="W5" s="540"/>
    </row>
    <row r="6" spans="1:23" ht="15">
      <c r="A6" s="859" t="s">
        <v>92</v>
      </c>
      <c r="B6" s="860"/>
      <c r="C6" s="860"/>
      <c r="D6" s="860"/>
      <c r="E6" s="860"/>
      <c r="F6" s="860"/>
      <c r="G6" s="860"/>
      <c r="H6" s="860"/>
      <c r="I6" s="860"/>
      <c r="J6" s="860"/>
      <c r="K6" s="860"/>
      <c r="L6" s="860"/>
      <c r="M6" s="860"/>
      <c r="N6" s="860"/>
      <c r="O6" s="860"/>
      <c r="P6" s="860"/>
      <c r="Q6" s="860"/>
      <c r="R6" s="860"/>
      <c r="S6" s="860"/>
      <c r="T6" s="860"/>
      <c r="U6" s="860"/>
      <c r="V6" s="861"/>
      <c r="W6" s="611"/>
    </row>
    <row r="7" spans="1:23" ht="15">
      <c r="A7" s="857" t="s">
        <v>117</v>
      </c>
      <c r="B7" s="8">
        <v>0</v>
      </c>
      <c r="C7" s="8">
        <v>1</v>
      </c>
      <c r="D7" s="8">
        <v>2</v>
      </c>
      <c r="E7" s="8">
        <v>3</v>
      </c>
      <c r="F7" s="8">
        <v>4</v>
      </c>
      <c r="G7" s="8">
        <v>5</v>
      </c>
      <c r="H7" s="8">
        <v>6</v>
      </c>
      <c r="I7" s="8">
        <v>7</v>
      </c>
      <c r="J7" s="8">
        <v>8</v>
      </c>
      <c r="K7" s="8">
        <v>9</v>
      </c>
      <c r="L7" s="8">
        <v>10</v>
      </c>
      <c r="M7" s="8">
        <v>11</v>
      </c>
      <c r="N7" s="8">
        <v>12</v>
      </c>
      <c r="O7" s="8">
        <v>13</v>
      </c>
      <c r="P7" s="8">
        <v>14</v>
      </c>
      <c r="Q7" s="8">
        <v>15</v>
      </c>
      <c r="R7" s="8">
        <v>16</v>
      </c>
      <c r="S7" s="8">
        <v>17</v>
      </c>
      <c r="T7" s="8">
        <v>18</v>
      </c>
      <c r="U7" s="8">
        <v>19</v>
      </c>
      <c r="V7" s="114">
        <v>20</v>
      </c>
      <c r="W7" s="611"/>
    </row>
    <row r="8" spans="1:23" ht="15">
      <c r="A8" s="858"/>
      <c r="B8" s="8">
        <f>'F2'!C8</f>
        <v>2011</v>
      </c>
      <c r="C8" s="8">
        <f>+B8+1</f>
        <v>2012</v>
      </c>
      <c r="D8" s="8">
        <f aca="true" t="shared" si="0" ref="D8:V8">+C8+1</f>
        <v>2013</v>
      </c>
      <c r="E8" s="8">
        <f t="shared" si="0"/>
        <v>2014</v>
      </c>
      <c r="F8" s="8">
        <f t="shared" si="0"/>
        <v>2015</v>
      </c>
      <c r="G8" s="8">
        <f t="shared" si="0"/>
        <v>2016</v>
      </c>
      <c r="H8" s="8">
        <f t="shared" si="0"/>
        <v>2017</v>
      </c>
      <c r="I8" s="8">
        <f t="shared" si="0"/>
        <v>2018</v>
      </c>
      <c r="J8" s="8">
        <f t="shared" si="0"/>
        <v>2019</v>
      </c>
      <c r="K8" s="8">
        <f t="shared" si="0"/>
        <v>2020</v>
      </c>
      <c r="L8" s="8">
        <f t="shared" si="0"/>
        <v>2021</v>
      </c>
      <c r="M8" s="8">
        <f t="shared" si="0"/>
        <v>2022</v>
      </c>
      <c r="N8" s="8">
        <f t="shared" si="0"/>
        <v>2023</v>
      </c>
      <c r="O8" s="8">
        <f t="shared" si="0"/>
        <v>2024</v>
      </c>
      <c r="P8" s="8">
        <f t="shared" si="0"/>
        <v>2025</v>
      </c>
      <c r="Q8" s="8">
        <f t="shared" si="0"/>
        <v>2026</v>
      </c>
      <c r="R8" s="8">
        <f t="shared" si="0"/>
        <v>2027</v>
      </c>
      <c r="S8" s="8">
        <f t="shared" si="0"/>
        <v>2028</v>
      </c>
      <c r="T8" s="8">
        <f t="shared" si="0"/>
        <v>2029</v>
      </c>
      <c r="U8" s="8">
        <f t="shared" si="0"/>
        <v>2030</v>
      </c>
      <c r="V8" s="114">
        <f t="shared" si="0"/>
        <v>2031</v>
      </c>
      <c r="W8" s="611"/>
    </row>
    <row r="9" spans="1:23" ht="15">
      <c r="A9" s="612" t="s">
        <v>431</v>
      </c>
      <c r="B9" s="613">
        <f>'F2'!B61</f>
        <v>0</v>
      </c>
      <c r="C9" s="613">
        <f>'F2'!C61</f>
        <v>0</v>
      </c>
      <c r="D9" s="613">
        <f>'F2'!D61</f>
        <v>0</v>
      </c>
      <c r="E9" s="613">
        <f>'F2'!E61</f>
        <v>0</v>
      </c>
      <c r="F9" s="613">
        <f>'F2'!F61</f>
        <v>0</v>
      </c>
      <c r="G9" s="613">
        <f>'F2'!G61</f>
        <v>0</v>
      </c>
      <c r="H9" s="613">
        <f>'F2'!H61</f>
        <v>0</v>
      </c>
      <c r="I9" s="613">
        <f>'F2'!I61</f>
        <v>0</v>
      </c>
      <c r="J9" s="613">
        <f>'F2'!J61</f>
        <v>0</v>
      </c>
      <c r="K9" s="613">
        <f>'F2'!K61</f>
        <v>0</v>
      </c>
      <c r="L9" s="613">
        <f>'F2'!L61</f>
        <v>0</v>
      </c>
      <c r="M9" s="613">
        <f>'F2'!M61</f>
        <v>0</v>
      </c>
      <c r="N9" s="613">
        <f>'F2'!N61</f>
        <v>0</v>
      </c>
      <c r="O9" s="613">
        <f>'F2'!O61</f>
        <v>0</v>
      </c>
      <c r="P9" s="613">
        <f>'F2'!P61</f>
        <v>0</v>
      </c>
      <c r="Q9" s="613">
        <f>'F2'!Q61</f>
        <v>0</v>
      </c>
      <c r="R9" s="613">
        <f>'F2'!R61</f>
        <v>0</v>
      </c>
      <c r="S9" s="613">
        <f>'F2'!S61</f>
        <v>0</v>
      </c>
      <c r="T9" s="613">
        <f>'F2'!T61</f>
        <v>0</v>
      </c>
      <c r="U9" s="613">
        <f>'F2'!U61</f>
        <v>0</v>
      </c>
      <c r="V9" s="614">
        <f>'F2'!V61</f>
        <v>0</v>
      </c>
      <c r="W9" s="540"/>
    </row>
    <row r="10" spans="1:23" ht="15">
      <c r="A10" s="612" t="s">
        <v>432</v>
      </c>
      <c r="B10" s="273">
        <f>'F3-SF'!B17</f>
        <v>0</v>
      </c>
      <c r="C10" s="273">
        <f>'F3-SF'!C17</f>
        <v>0</v>
      </c>
      <c r="D10" s="273">
        <f>'F3-SF'!D17</f>
        <v>0</v>
      </c>
      <c r="E10" s="273">
        <f>'F3-SF'!E17</f>
        <v>0</v>
      </c>
      <c r="F10" s="273">
        <f>'F3-SF'!F17</f>
        <v>0</v>
      </c>
      <c r="G10" s="273">
        <f>'F3-SF'!G17</f>
        <v>0</v>
      </c>
      <c r="H10" s="273">
        <f>'F3-SF'!H17</f>
        <v>0</v>
      </c>
      <c r="I10" s="273">
        <f>'F3-SF'!I17</f>
        <v>0</v>
      </c>
      <c r="J10" s="273">
        <f>'F3-SF'!J17</f>
        <v>0</v>
      </c>
      <c r="K10" s="273">
        <f>'F3-SF'!K17</f>
        <v>0</v>
      </c>
      <c r="L10" s="273">
        <f>'F3-SF'!L17</f>
        <v>0</v>
      </c>
      <c r="M10" s="273">
        <f>'F3-SF'!M17</f>
        <v>0</v>
      </c>
      <c r="N10" s="273">
        <f>'F3-SF'!N17</f>
        <v>0</v>
      </c>
      <c r="O10" s="273">
        <f>'F3-SF'!O17</f>
        <v>0</v>
      </c>
      <c r="P10" s="273">
        <f>'F3-SF'!P17</f>
        <v>0</v>
      </c>
      <c r="Q10" s="273">
        <f>'F3-SF'!Q17</f>
        <v>0</v>
      </c>
      <c r="R10" s="273">
        <f>'F3-SF'!R17</f>
        <v>0</v>
      </c>
      <c r="S10" s="273">
        <f>'F3-SF'!S17</f>
        <v>0</v>
      </c>
      <c r="T10" s="273">
        <f>'F3-SF'!T17</f>
        <v>0</v>
      </c>
      <c r="U10" s="273">
        <f>'F3-SF'!U17</f>
        <v>0</v>
      </c>
      <c r="V10" s="615">
        <f>'F3-SF'!V17</f>
        <v>0</v>
      </c>
      <c r="W10" s="616"/>
    </row>
    <row r="11" spans="1:23" ht="15">
      <c r="A11" s="617" t="s">
        <v>204</v>
      </c>
      <c r="B11" s="618">
        <f>B10-B9</f>
        <v>0</v>
      </c>
      <c r="C11" s="613">
        <f>C10-C9</f>
        <v>0</v>
      </c>
      <c r="D11" s="613">
        <f aca="true" t="shared" si="1" ref="D11:V11">D10-D9</f>
        <v>0</v>
      </c>
      <c r="E11" s="613">
        <f t="shared" si="1"/>
        <v>0</v>
      </c>
      <c r="F11" s="613">
        <f t="shared" si="1"/>
        <v>0</v>
      </c>
      <c r="G11" s="613">
        <f t="shared" si="1"/>
        <v>0</v>
      </c>
      <c r="H11" s="613">
        <f t="shared" si="1"/>
        <v>0</v>
      </c>
      <c r="I11" s="613">
        <f t="shared" si="1"/>
        <v>0</v>
      </c>
      <c r="J11" s="613">
        <f t="shared" si="1"/>
        <v>0</v>
      </c>
      <c r="K11" s="613">
        <f t="shared" si="1"/>
        <v>0</v>
      </c>
      <c r="L11" s="613">
        <f t="shared" si="1"/>
        <v>0</v>
      </c>
      <c r="M11" s="613">
        <f t="shared" si="1"/>
        <v>0</v>
      </c>
      <c r="N11" s="613">
        <f t="shared" si="1"/>
        <v>0</v>
      </c>
      <c r="O11" s="613">
        <f t="shared" si="1"/>
        <v>0</v>
      </c>
      <c r="P11" s="613">
        <f t="shared" si="1"/>
        <v>0</v>
      </c>
      <c r="Q11" s="613">
        <f t="shared" si="1"/>
        <v>0</v>
      </c>
      <c r="R11" s="613">
        <f t="shared" si="1"/>
        <v>0</v>
      </c>
      <c r="S11" s="613">
        <f t="shared" si="1"/>
        <v>0</v>
      </c>
      <c r="T11" s="613">
        <f t="shared" si="1"/>
        <v>0</v>
      </c>
      <c r="U11" s="613">
        <f t="shared" si="1"/>
        <v>0</v>
      </c>
      <c r="V11" s="614">
        <f t="shared" si="1"/>
        <v>0</v>
      </c>
      <c r="W11" s="540"/>
    </row>
    <row r="12" spans="1:23" ht="15">
      <c r="A12" s="325"/>
      <c r="B12" s="326"/>
      <c r="C12" s="326"/>
      <c r="D12" s="326"/>
      <c r="E12" s="326"/>
      <c r="F12" s="326"/>
      <c r="G12" s="326"/>
      <c r="H12" s="326"/>
      <c r="I12" s="326"/>
      <c r="J12" s="326"/>
      <c r="K12" s="326"/>
      <c r="L12" s="326"/>
      <c r="M12" s="326"/>
      <c r="N12" s="326"/>
      <c r="O12" s="326"/>
      <c r="P12" s="326"/>
      <c r="Q12" s="326"/>
      <c r="R12" s="326"/>
      <c r="S12" s="326"/>
      <c r="T12" s="326"/>
      <c r="U12" s="326"/>
      <c r="V12" s="610"/>
      <c r="W12" s="540"/>
    </row>
    <row r="13" spans="1:23" ht="15">
      <c r="A13" s="328" t="s">
        <v>208</v>
      </c>
      <c r="B13" s="329"/>
      <c r="C13" s="608"/>
      <c r="D13" s="608"/>
      <c r="E13" s="608"/>
      <c r="F13" s="608"/>
      <c r="G13" s="608"/>
      <c r="H13" s="608"/>
      <c r="I13" s="608"/>
      <c r="J13" s="608"/>
      <c r="K13" s="608"/>
      <c r="L13" s="608"/>
      <c r="M13" s="608"/>
      <c r="N13" s="608"/>
      <c r="O13" s="608"/>
      <c r="P13" s="608"/>
      <c r="Q13" s="608"/>
      <c r="R13" s="608"/>
      <c r="S13" s="608"/>
      <c r="T13" s="608"/>
      <c r="U13" s="608"/>
      <c r="V13" s="609"/>
      <c r="W13" s="540"/>
    </row>
    <row r="14" spans="1:23" ht="15">
      <c r="A14" s="325"/>
      <c r="B14" s="326"/>
      <c r="C14" s="326"/>
      <c r="D14" s="326"/>
      <c r="E14" s="326"/>
      <c r="F14" s="326"/>
      <c r="G14" s="326"/>
      <c r="H14" s="326"/>
      <c r="I14" s="326"/>
      <c r="J14" s="326"/>
      <c r="K14" s="326"/>
      <c r="L14" s="326"/>
      <c r="M14" s="326"/>
      <c r="N14" s="326"/>
      <c r="O14" s="326"/>
      <c r="P14" s="326"/>
      <c r="Q14" s="326"/>
      <c r="R14" s="326"/>
      <c r="S14" s="326"/>
      <c r="T14" s="326"/>
      <c r="U14" s="326"/>
      <c r="V14" s="610"/>
      <c r="W14" s="540"/>
    </row>
    <row r="15" spans="1:23" ht="15">
      <c r="A15" s="859" t="s">
        <v>92</v>
      </c>
      <c r="B15" s="860"/>
      <c r="C15" s="860"/>
      <c r="D15" s="860"/>
      <c r="E15" s="860"/>
      <c r="F15" s="860"/>
      <c r="G15" s="860"/>
      <c r="H15" s="860"/>
      <c r="I15" s="860"/>
      <c r="J15" s="860"/>
      <c r="K15" s="860"/>
      <c r="L15" s="860"/>
      <c r="M15" s="860"/>
      <c r="N15" s="860"/>
      <c r="O15" s="860"/>
      <c r="P15" s="860"/>
      <c r="Q15" s="860"/>
      <c r="R15" s="860"/>
      <c r="S15" s="860"/>
      <c r="T15" s="860"/>
      <c r="U15" s="860"/>
      <c r="V15" s="861"/>
      <c r="W15" s="611"/>
    </row>
    <row r="16" spans="1:23" ht="15">
      <c r="A16" s="857" t="s">
        <v>117</v>
      </c>
      <c r="B16" s="8">
        <v>0</v>
      </c>
      <c r="C16" s="8">
        <v>1</v>
      </c>
      <c r="D16" s="8">
        <v>2</v>
      </c>
      <c r="E16" s="8">
        <v>3</v>
      </c>
      <c r="F16" s="8">
        <v>4</v>
      </c>
      <c r="G16" s="8">
        <v>5</v>
      </c>
      <c r="H16" s="8">
        <v>6</v>
      </c>
      <c r="I16" s="8">
        <v>7</v>
      </c>
      <c r="J16" s="8">
        <v>8</v>
      </c>
      <c r="K16" s="8">
        <v>9</v>
      </c>
      <c r="L16" s="8">
        <v>10</v>
      </c>
      <c r="M16" s="8">
        <v>11</v>
      </c>
      <c r="N16" s="8">
        <v>12</v>
      </c>
      <c r="O16" s="8">
        <v>13</v>
      </c>
      <c r="P16" s="8">
        <v>14</v>
      </c>
      <c r="Q16" s="8">
        <v>15</v>
      </c>
      <c r="R16" s="8">
        <v>16</v>
      </c>
      <c r="S16" s="8">
        <v>17</v>
      </c>
      <c r="T16" s="8">
        <v>18</v>
      </c>
      <c r="U16" s="8">
        <v>19</v>
      </c>
      <c r="V16" s="114">
        <v>20</v>
      </c>
      <c r="W16" s="611"/>
    </row>
    <row r="17" spans="1:23" ht="15">
      <c r="A17" s="858"/>
      <c r="B17" s="8">
        <f>'F2'!C8</f>
        <v>2011</v>
      </c>
      <c r="C17" s="8">
        <f aca="true" t="shared" si="2" ref="C17:V17">+B17+1</f>
        <v>2012</v>
      </c>
      <c r="D17" s="8">
        <f t="shared" si="2"/>
        <v>2013</v>
      </c>
      <c r="E17" s="8">
        <f t="shared" si="2"/>
        <v>2014</v>
      </c>
      <c r="F17" s="8">
        <f t="shared" si="2"/>
        <v>2015</v>
      </c>
      <c r="G17" s="8">
        <f t="shared" si="2"/>
        <v>2016</v>
      </c>
      <c r="H17" s="8">
        <f t="shared" si="2"/>
        <v>2017</v>
      </c>
      <c r="I17" s="8">
        <f t="shared" si="2"/>
        <v>2018</v>
      </c>
      <c r="J17" s="8">
        <f t="shared" si="2"/>
        <v>2019</v>
      </c>
      <c r="K17" s="8">
        <f t="shared" si="2"/>
        <v>2020</v>
      </c>
      <c r="L17" s="8">
        <f t="shared" si="2"/>
        <v>2021</v>
      </c>
      <c r="M17" s="8">
        <f t="shared" si="2"/>
        <v>2022</v>
      </c>
      <c r="N17" s="8">
        <f t="shared" si="2"/>
        <v>2023</v>
      </c>
      <c r="O17" s="8">
        <f t="shared" si="2"/>
        <v>2024</v>
      </c>
      <c r="P17" s="8">
        <f t="shared" si="2"/>
        <v>2025</v>
      </c>
      <c r="Q17" s="8">
        <f t="shared" si="2"/>
        <v>2026</v>
      </c>
      <c r="R17" s="8">
        <f t="shared" si="2"/>
        <v>2027</v>
      </c>
      <c r="S17" s="8">
        <f t="shared" si="2"/>
        <v>2028</v>
      </c>
      <c r="T17" s="8">
        <f t="shared" si="2"/>
        <v>2029</v>
      </c>
      <c r="U17" s="8">
        <f t="shared" si="2"/>
        <v>2030</v>
      </c>
      <c r="V17" s="114">
        <f t="shared" si="2"/>
        <v>2031</v>
      </c>
      <c r="W17" s="611"/>
    </row>
    <row r="18" spans="1:23" ht="15">
      <c r="A18" s="612" t="s">
        <v>431</v>
      </c>
      <c r="B18" s="619">
        <f>'F2'!B59</f>
        <v>165342.24</v>
      </c>
      <c r="C18" s="619">
        <f>'F2'!C59</f>
        <v>168331.41</v>
      </c>
      <c r="D18" s="619">
        <f>'F2'!D59</f>
        <v>171660.03285000002</v>
      </c>
      <c r="E18" s="619">
        <f>'F2'!E59</f>
        <v>174721.89120403564</v>
      </c>
      <c r="F18" s="619">
        <f>'F2'!F59</f>
        <v>178128.38738553156</v>
      </c>
      <c r="G18" s="619">
        <f>'F2'!G59</f>
        <v>181424.67146803072</v>
      </c>
      <c r="H18" s="619">
        <f>'F2'!H59</f>
        <v>184908.33735317737</v>
      </c>
      <c r="I18" s="619">
        <f>'F2'!I59</f>
        <v>188433.4478272486</v>
      </c>
      <c r="J18" s="619">
        <f>'F2'!J59</f>
        <v>192000.4223366877</v>
      </c>
      <c r="K18" s="619">
        <f>'F2'!K59</f>
        <v>195609.68424327395</v>
      </c>
      <c r="L18" s="619">
        <f>'F2'!L59</f>
        <v>199261.660858934</v>
      </c>
      <c r="M18" s="619">
        <f>'F2'!M59</f>
        <v>202956.78348085337</v>
      </c>
      <c r="N18" s="619">
        <f>'F2'!N59</f>
        <v>206695.4874268896</v>
      </c>
      <c r="O18" s="619">
        <f>'F2'!O59</f>
        <v>210478.21207129027</v>
      </c>
      <c r="P18" s="619">
        <f>'F2'!P59</f>
        <v>214776.76088071818</v>
      </c>
      <c r="Q18" s="619">
        <f>'F2'!Q59</f>
        <v>218648.86145058647</v>
      </c>
      <c r="R18" s="619">
        <f>'F2'!R59</f>
        <v>222903.3509146388</v>
      </c>
      <c r="S18" s="619">
        <f>'F2'!S59</f>
        <v>226869.09477540271</v>
      </c>
      <c r="T18" s="619">
        <f>'F2'!T59</f>
        <v>231223.10018694174</v>
      </c>
      <c r="U18" s="619">
        <f>'F2'!U59</f>
        <v>235628.86052994707</v>
      </c>
      <c r="V18" s="620">
        <f>'F2'!V59</f>
        <v>240086.8994014697</v>
      </c>
      <c r="W18" s="540"/>
    </row>
    <row r="19" spans="1:23" ht="15">
      <c r="A19" s="612" t="s">
        <v>450</v>
      </c>
      <c r="B19" s="619">
        <f>'F3-SF'!B29</f>
        <v>57133.44</v>
      </c>
      <c r="C19" s="619">
        <f>'F3-SF'!C29</f>
        <v>57754.8</v>
      </c>
      <c r="D19" s="619">
        <f>'F3-SF'!D29</f>
        <v>58479.72</v>
      </c>
      <c r="E19" s="619">
        <f>'F3-SF'!E29</f>
        <v>59101.08</v>
      </c>
      <c r="F19" s="619">
        <f>'F3-SF'!F29</f>
        <v>59826</v>
      </c>
      <c r="G19" s="619">
        <f>'F3-SF'!G29</f>
        <v>60512.880000000005</v>
      </c>
      <c r="H19" s="619">
        <f>'F3-SF'!H29</f>
        <v>61237.8</v>
      </c>
      <c r="I19" s="619">
        <f>'F3-SF'!I29</f>
        <v>61962.72</v>
      </c>
      <c r="J19" s="619">
        <f>'F3-SF'!J29</f>
        <v>62687.64000000001</v>
      </c>
      <c r="K19" s="619">
        <f>'F3-SF'!K29</f>
        <v>63412.560000000005</v>
      </c>
      <c r="L19" s="619">
        <f>'F3-SF'!L29</f>
        <v>64137.48</v>
      </c>
      <c r="M19" s="619">
        <f>'F3-SF'!M29</f>
        <v>64862.4</v>
      </c>
      <c r="N19" s="619">
        <f>'F3-SF'!N29</f>
        <v>65587.32</v>
      </c>
      <c r="O19" s="619">
        <f>'F3-SF'!O29</f>
        <v>66312.24</v>
      </c>
      <c r="P19" s="619">
        <f>'F3-SF'!P29</f>
        <v>67206.24</v>
      </c>
      <c r="Q19" s="619">
        <f>'F3-SF'!Q29</f>
        <v>67931.16</v>
      </c>
      <c r="R19" s="619">
        <f>'F3-SF'!R29</f>
        <v>68759.64</v>
      </c>
      <c r="S19" s="619">
        <f>'F3-SF'!S29</f>
        <v>69484.56000000001</v>
      </c>
      <c r="T19" s="619">
        <f>'F3-SF'!T29</f>
        <v>70313.04000000001</v>
      </c>
      <c r="U19" s="619">
        <f>'F3-SF'!U29</f>
        <v>71141.52</v>
      </c>
      <c r="V19" s="620">
        <f>'F3-SF'!V29</f>
        <v>71970</v>
      </c>
      <c r="W19" s="616"/>
    </row>
    <row r="20" spans="1:23" ht="15">
      <c r="A20" s="617" t="s">
        <v>442</v>
      </c>
      <c r="B20" s="619">
        <f>_xlfn.IFERROR(B19-B18,"")</f>
        <v>-108208.79999999999</v>
      </c>
      <c r="C20" s="619">
        <f>C19-C18</f>
        <v>-110576.61</v>
      </c>
      <c r="D20" s="619">
        <f aca="true" t="shared" si="3" ref="D20:V20">D19-D18</f>
        <v>-113180.31285000002</v>
      </c>
      <c r="E20" s="619">
        <f t="shared" si="3"/>
        <v>-115620.81120403564</v>
      </c>
      <c r="F20" s="619">
        <f t="shared" si="3"/>
        <v>-118302.38738553156</v>
      </c>
      <c r="G20" s="619">
        <f t="shared" si="3"/>
        <v>-120911.79146803071</v>
      </c>
      <c r="H20" s="619">
        <f t="shared" si="3"/>
        <v>-123670.53735317737</v>
      </c>
      <c r="I20" s="619">
        <f t="shared" si="3"/>
        <v>-126470.7278272486</v>
      </c>
      <c r="J20" s="619">
        <f t="shared" si="3"/>
        <v>-129312.7823366877</v>
      </c>
      <c r="K20" s="619">
        <f t="shared" si="3"/>
        <v>-132197.12424327395</v>
      </c>
      <c r="L20" s="619">
        <f t="shared" si="3"/>
        <v>-135124.18085893398</v>
      </c>
      <c r="M20" s="619">
        <f t="shared" si="3"/>
        <v>-138094.38348085337</v>
      </c>
      <c r="N20" s="619">
        <f t="shared" si="3"/>
        <v>-141108.1674268896</v>
      </c>
      <c r="O20" s="619">
        <f t="shared" si="3"/>
        <v>-144165.97207129025</v>
      </c>
      <c r="P20" s="619">
        <f t="shared" si="3"/>
        <v>-147570.5208807182</v>
      </c>
      <c r="Q20" s="619">
        <f t="shared" si="3"/>
        <v>-150717.70145058646</v>
      </c>
      <c r="R20" s="619">
        <f t="shared" si="3"/>
        <v>-154143.71091463882</v>
      </c>
      <c r="S20" s="619">
        <f t="shared" si="3"/>
        <v>-157384.5347754027</v>
      </c>
      <c r="T20" s="619">
        <f t="shared" si="3"/>
        <v>-160910.06018694173</v>
      </c>
      <c r="U20" s="619">
        <f t="shared" si="3"/>
        <v>-164487.34052994708</v>
      </c>
      <c r="V20" s="620">
        <f t="shared" si="3"/>
        <v>-168116.8994014697</v>
      </c>
      <c r="W20" s="540"/>
    </row>
    <row r="21" spans="1:23" ht="25.5">
      <c r="A21" s="617" t="s">
        <v>443</v>
      </c>
      <c r="B21" s="621">
        <f aca="true" t="shared" si="4" ref="B21:V21">_xlfn.IFERROR(ROUNDUP(B18/B19,0),0)</f>
        <v>3</v>
      </c>
      <c r="C21" s="621">
        <f t="shared" si="4"/>
        <v>3</v>
      </c>
      <c r="D21" s="621">
        <f t="shared" si="4"/>
        <v>3</v>
      </c>
      <c r="E21" s="621">
        <f t="shared" si="4"/>
        <v>3</v>
      </c>
      <c r="F21" s="621">
        <f t="shared" si="4"/>
        <v>3</v>
      </c>
      <c r="G21" s="621">
        <f t="shared" si="4"/>
        <v>3</v>
      </c>
      <c r="H21" s="621">
        <f t="shared" si="4"/>
        <v>4</v>
      </c>
      <c r="I21" s="621">
        <f t="shared" si="4"/>
        <v>4</v>
      </c>
      <c r="J21" s="621">
        <f t="shared" si="4"/>
        <v>4</v>
      </c>
      <c r="K21" s="621">
        <f t="shared" si="4"/>
        <v>4</v>
      </c>
      <c r="L21" s="621">
        <f t="shared" si="4"/>
        <v>4</v>
      </c>
      <c r="M21" s="621">
        <f t="shared" si="4"/>
        <v>4</v>
      </c>
      <c r="N21" s="621">
        <f t="shared" si="4"/>
        <v>4</v>
      </c>
      <c r="O21" s="621">
        <f t="shared" si="4"/>
        <v>4</v>
      </c>
      <c r="P21" s="621">
        <f t="shared" si="4"/>
        <v>4</v>
      </c>
      <c r="Q21" s="621">
        <f t="shared" si="4"/>
        <v>4</v>
      </c>
      <c r="R21" s="621">
        <f t="shared" si="4"/>
        <v>4</v>
      </c>
      <c r="S21" s="621">
        <f t="shared" si="4"/>
        <v>4</v>
      </c>
      <c r="T21" s="621">
        <f t="shared" si="4"/>
        <v>4</v>
      </c>
      <c r="U21" s="621">
        <f t="shared" si="4"/>
        <v>4</v>
      </c>
      <c r="V21" s="769">
        <f t="shared" si="4"/>
        <v>4</v>
      </c>
      <c r="W21" s="540"/>
    </row>
    <row r="22" spans="1:23" ht="15">
      <c r="A22" s="612" t="s">
        <v>449</v>
      </c>
      <c r="B22" s="619">
        <f>+B19*B21</f>
        <v>171400.32</v>
      </c>
      <c r="C22" s="619">
        <f aca="true" t="shared" si="5" ref="C22:V22">+C19*C21</f>
        <v>173264.40000000002</v>
      </c>
      <c r="D22" s="619">
        <f t="shared" si="5"/>
        <v>175439.16</v>
      </c>
      <c r="E22" s="619">
        <f t="shared" si="5"/>
        <v>177303.24</v>
      </c>
      <c r="F22" s="619">
        <f t="shared" si="5"/>
        <v>179478</v>
      </c>
      <c r="G22" s="619">
        <f t="shared" si="5"/>
        <v>181538.64</v>
      </c>
      <c r="H22" s="619">
        <f t="shared" si="5"/>
        <v>244951.2</v>
      </c>
      <c r="I22" s="619">
        <f t="shared" si="5"/>
        <v>247850.88</v>
      </c>
      <c r="J22" s="619">
        <f t="shared" si="5"/>
        <v>250750.56000000003</v>
      </c>
      <c r="K22" s="619">
        <f t="shared" si="5"/>
        <v>253650.24000000002</v>
      </c>
      <c r="L22" s="619">
        <f t="shared" si="5"/>
        <v>256549.92</v>
      </c>
      <c r="M22" s="619">
        <f t="shared" si="5"/>
        <v>259449.6</v>
      </c>
      <c r="N22" s="619">
        <f t="shared" si="5"/>
        <v>262349.28</v>
      </c>
      <c r="O22" s="619">
        <f t="shared" si="5"/>
        <v>265248.96</v>
      </c>
      <c r="P22" s="619">
        <f t="shared" si="5"/>
        <v>268824.96</v>
      </c>
      <c r="Q22" s="619">
        <f t="shared" si="5"/>
        <v>271724.64</v>
      </c>
      <c r="R22" s="619">
        <f t="shared" si="5"/>
        <v>275038.56</v>
      </c>
      <c r="S22" s="619">
        <f t="shared" si="5"/>
        <v>277938.24000000005</v>
      </c>
      <c r="T22" s="619">
        <f t="shared" si="5"/>
        <v>281252.16000000003</v>
      </c>
      <c r="U22" s="619">
        <f t="shared" si="5"/>
        <v>284566.08</v>
      </c>
      <c r="V22" s="620">
        <f t="shared" si="5"/>
        <v>287880</v>
      </c>
      <c r="W22" s="540"/>
    </row>
    <row r="23" spans="1:23" ht="15">
      <c r="A23" s="617" t="s">
        <v>377</v>
      </c>
      <c r="B23" s="613">
        <f>+B22-B18</f>
        <v>6058.080000000016</v>
      </c>
      <c r="C23" s="613">
        <f aca="true" t="shared" si="6" ref="C23:V23">+C22-C18</f>
        <v>4932.99000000002</v>
      </c>
      <c r="D23" s="613">
        <f t="shared" si="6"/>
        <v>3779.1271499999857</v>
      </c>
      <c r="E23" s="613">
        <f t="shared" si="6"/>
        <v>2581.3487959643535</v>
      </c>
      <c r="F23" s="613">
        <f t="shared" si="6"/>
        <v>1349.6126144684386</v>
      </c>
      <c r="G23" s="613">
        <f t="shared" si="6"/>
        <v>113.96853196929442</v>
      </c>
      <c r="H23" s="613">
        <f t="shared" si="6"/>
        <v>60042.86264682264</v>
      </c>
      <c r="I23" s="613">
        <f t="shared" si="6"/>
        <v>59417.4321727514</v>
      </c>
      <c r="J23" s="613">
        <f t="shared" si="6"/>
        <v>58750.137663312315</v>
      </c>
      <c r="K23" s="613">
        <f t="shared" si="6"/>
        <v>58040.55575672607</v>
      </c>
      <c r="L23" s="613">
        <f t="shared" si="6"/>
        <v>57288.259141066024</v>
      </c>
      <c r="M23" s="613">
        <f t="shared" si="6"/>
        <v>56492.81651914664</v>
      </c>
      <c r="N23" s="613">
        <f t="shared" si="6"/>
        <v>55653.79257311043</v>
      </c>
      <c r="O23" s="613">
        <f t="shared" si="6"/>
        <v>54770.74792870975</v>
      </c>
      <c r="P23" s="613">
        <f t="shared" si="6"/>
        <v>54048.19911928184</v>
      </c>
      <c r="Q23" s="613">
        <f t="shared" si="6"/>
        <v>53075.778549413546</v>
      </c>
      <c r="R23" s="613">
        <f t="shared" si="6"/>
        <v>52135.20908536119</v>
      </c>
      <c r="S23" s="613">
        <f t="shared" si="6"/>
        <v>51069.145224597334</v>
      </c>
      <c r="T23" s="613">
        <f t="shared" si="6"/>
        <v>50029.059813058295</v>
      </c>
      <c r="U23" s="613">
        <f t="shared" si="6"/>
        <v>48937.21947005295</v>
      </c>
      <c r="V23" s="614">
        <f t="shared" si="6"/>
        <v>47793.10059853029</v>
      </c>
      <c r="W23" s="540"/>
    </row>
    <row r="24" spans="1:23" ht="15">
      <c r="A24" s="328" t="s">
        <v>451</v>
      </c>
      <c r="B24" s="623"/>
      <c r="C24" s="623"/>
      <c r="D24" s="623"/>
      <c r="E24" s="623"/>
      <c r="F24" s="623"/>
      <c r="G24" s="623"/>
      <c r="H24" s="623"/>
      <c r="I24" s="623"/>
      <c r="J24" s="623"/>
      <c r="K24" s="623"/>
      <c r="L24" s="623"/>
      <c r="M24" s="623"/>
      <c r="N24" s="623"/>
      <c r="O24" s="623"/>
      <c r="P24" s="623"/>
      <c r="Q24" s="623"/>
      <c r="R24" s="623"/>
      <c r="S24" s="623"/>
      <c r="T24" s="623"/>
      <c r="U24" s="623"/>
      <c r="V24" s="624"/>
      <c r="W24" s="540"/>
    </row>
    <row r="25" spans="1:23" ht="15.75" thickBot="1">
      <c r="A25" s="625"/>
      <c r="B25" s="626"/>
      <c r="C25" s="626"/>
      <c r="D25" s="626"/>
      <c r="E25" s="626"/>
      <c r="F25" s="626"/>
      <c r="G25" s="626"/>
      <c r="H25" s="626"/>
      <c r="I25" s="626"/>
      <c r="J25" s="626"/>
      <c r="K25" s="626"/>
      <c r="L25" s="626"/>
      <c r="M25" s="626"/>
      <c r="N25" s="626"/>
      <c r="O25" s="626"/>
      <c r="P25" s="626"/>
      <c r="Q25" s="626"/>
      <c r="R25" s="626"/>
      <c r="S25" s="626"/>
      <c r="T25" s="626"/>
      <c r="U25" s="626"/>
      <c r="V25" s="627"/>
      <c r="W25" s="540"/>
    </row>
    <row r="28" spans="2:21" ht="15">
      <c r="B28" s="628"/>
      <c r="C28" s="628"/>
      <c r="D28" s="628"/>
      <c r="E28" s="628"/>
      <c r="F28" s="628"/>
      <c r="G28" s="628"/>
      <c r="H28" s="628"/>
      <c r="I28" s="628"/>
      <c r="J28" s="628"/>
      <c r="K28" s="628"/>
      <c r="L28" s="628"/>
      <c r="M28" s="628"/>
      <c r="N28" s="628"/>
      <c r="O28" s="628"/>
      <c r="P28" s="628"/>
      <c r="Q28" s="628"/>
      <c r="R28" s="628"/>
      <c r="S28" s="628"/>
      <c r="T28" s="628"/>
      <c r="U28" s="628"/>
    </row>
  </sheetData>
  <sheetProtection password="FFA0" sheet="1" objects="1"/>
  <mergeCells count="6">
    <mergeCell ref="A2:V2"/>
    <mergeCell ref="A3:V3"/>
    <mergeCell ref="A6:V6"/>
    <mergeCell ref="A7:A8"/>
    <mergeCell ref="A15:V15"/>
    <mergeCell ref="A16:A17"/>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Roberto</dc:creator>
  <cp:keywords/>
  <dc:description/>
  <cp:lastModifiedBy>Mendoza Sosa, Roberto</cp:lastModifiedBy>
  <cp:lastPrinted>2011-06-13T15:05:28Z</cp:lastPrinted>
  <dcterms:created xsi:type="dcterms:W3CDTF">2009-05-04T04:57:18Z</dcterms:created>
  <dcterms:modified xsi:type="dcterms:W3CDTF">2015-09-15T16:26:28Z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